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4" activeTab="4"/>
  </bookViews>
  <sheets>
    <sheet name="KH 2016-2020" sheetId="1" state="hidden" r:id="rId1"/>
    <sheet name="ĐT" sheetId="2" state="hidden" r:id="rId2"/>
    <sheet name="NS" sheetId="3" state="hidden" r:id="rId3"/>
    <sheet name="DA 2011-2015" sheetId="4" state="hidden" r:id="rId4"/>
    <sheet name="Bieu 03- Phương" sheetId="5" r:id="rId5"/>
    <sheet name="Bieu 04" sheetId="6" r:id="rId6"/>
    <sheet name="Sheet1" sheetId="7" state="hidden" r:id="rId7"/>
    <sheet name="Sheet2" sheetId="8" r:id="rId8"/>
    <sheet name="Sheet3" sheetId="9" r:id="rId9"/>
  </sheets>
  <externalReferences>
    <externalReference r:id="rId12"/>
    <externalReference r:id="rId13"/>
    <externalReference r:id="rId14"/>
    <externalReference r:id="rId15"/>
    <externalReference r:id="rId16"/>
    <externalReference r:id="rId17"/>
  </externalReferences>
  <definedNames>
    <definedName name="_xlnm.Print_Titles" localSheetId="4">'Bieu 03- Phương'!$6:$7</definedName>
    <definedName name="_xlnm.Print_Titles" localSheetId="5">'Bieu 04'!$5:$6</definedName>
    <definedName name="_xlnm.Print_Titles" localSheetId="0">'KH 2016-2020'!$3:$3</definedName>
  </definedNames>
  <calcPr fullCalcOnLoad="1"/>
</workbook>
</file>

<file path=xl/sharedStrings.xml><?xml version="1.0" encoding="utf-8"?>
<sst xmlns="http://schemas.openxmlformats.org/spreadsheetml/2006/main" count="1482" uniqueCount="813">
  <si>
    <t>STT</t>
  </si>
  <si>
    <t>Chỉ tiêu</t>
  </si>
  <si>
    <t>Đơn vị tính</t>
  </si>
  <si>
    <t>KH 2016</t>
  </si>
  <si>
    <t>KH 2017</t>
  </si>
  <si>
    <t>KH 2018</t>
  </si>
  <si>
    <t>KH 2019</t>
  </si>
  <si>
    <t>KH 2020</t>
  </si>
  <si>
    <t>Mục tiêu kế hoạch 5 năm 2016-2020</t>
  </si>
  <si>
    <t>A</t>
  </si>
  <si>
    <t>B</t>
  </si>
  <si>
    <t>TỔNG SỐ</t>
  </si>
  <si>
    <t>Chi đầu tư phát triển</t>
  </si>
  <si>
    <t>KẾ HOẠCH PHÁT TRIỂN SỰ NGHIỆP VĂN HÓA, THỂ THAO VÀ DU LỊCH  5 NĂM 2016 - 2020</t>
  </si>
  <si>
    <t>Tên các dự án đầu tư</t>
  </si>
  <si>
    <t>Tổng cộng 5 năm 2016-2020</t>
  </si>
  <si>
    <t>Đơn vị tính: Triệu đồng</t>
  </si>
  <si>
    <t xml:space="preserve">KẾ HOẠCH VỐN ĐẦU TƯ PHÁT TRIỂN  5 NĂM 2016 - 2020 </t>
  </si>
  <si>
    <t>Chia theo nguồn vốn</t>
  </si>
  <si>
    <t>I</t>
  </si>
  <si>
    <t>II</t>
  </si>
  <si>
    <t>NHÓM CHỈ TIÊU CHÍNH</t>
  </si>
  <si>
    <t>Phong trào toàn dân đoàn kết xây dựng đời sống văn hóa</t>
  </si>
  <si>
    <t>Tỷ lệ GĐ đạt VH chiếm trong tổng số gia đình toàn tỉnh</t>
  </si>
  <si>
    <t>Tỷ lệ  thôn, bản,  đạt VH chiếm trong tổng số thôn, bản  toàn tỉnh</t>
  </si>
  <si>
    <t xml:space="preserve"> Tỷ lệ cơ quan, đơn vị DN, trường học đạt VH chiếm trong tổng số cơ quan, đơn vị, trường học  toàn tỉnh</t>
  </si>
  <si>
    <t>Công tác gia đình</t>
  </si>
  <si>
    <t xml:space="preserve">Tỷ lệ xã phường có ban chỉ đạo mô hình phòng chống bạo lực gia đình </t>
  </si>
  <si>
    <t>Tỷ lệ gia đình được tuyên truyền phổ biến các luật có liên quan đến lĩnh vực gia đình</t>
  </si>
  <si>
    <t>Tỷ lệ  xã, phường, thị trấn xây dựng kế hoạch công tác gia đình và phòng chống bạo lực gia đình;</t>
  </si>
  <si>
    <t>Thiết chế văn hóa-thể thao</t>
  </si>
  <si>
    <t xml:space="preserve">Tỷ lệ huyện có nhà văn hóa -Thể thao </t>
  </si>
  <si>
    <t>Tỷ lệ xã, phường có nhà VH-TT đến thời  điểm báo cáo</t>
  </si>
  <si>
    <t>Tỷ lệ thôn bản có nhà VH-TT đến thời  điểm báo cáo</t>
  </si>
  <si>
    <t>Bảo tồn di sản văn hóa</t>
  </si>
  <si>
    <t xml:space="preserve">Số di tích lịch sử được đầu tư tôn tạo đã hoàn thành trong kỳ </t>
  </si>
  <si>
    <t>Số di tích được xếp hạng đến cuối kì BC</t>
  </si>
  <si>
    <t>Số loại hình văn hóa phi vật thể của các dân tộc thiểu số được bảo tồn trong kì</t>
  </si>
  <si>
    <t>Thể dục-thể thao</t>
  </si>
  <si>
    <t>Số  người tham gia luyện tập thường xuyên  ít nhất 01 môn thể thao;</t>
  </si>
  <si>
    <t>Tỷ lệ người tham gia luyện tập thường xuyên  ít nhất 01 môn thể thao trong tổng dân số toàn tỉnh</t>
  </si>
  <si>
    <t>Số  gia đình tập luyện thể dục thể thao</t>
  </si>
  <si>
    <t>Tỷ lệ gia đình tập luyện thể dục thể thao trong tổng số hộ gia đình toàn tỉnh</t>
  </si>
  <si>
    <t>Số vận động viên được tập trung đào tạo</t>
  </si>
  <si>
    <t>Trong đó:  VĐV trẻ</t>
  </si>
  <si>
    <t xml:space="preserve">Số VĐV đẳng cấp kiện tướng </t>
  </si>
  <si>
    <t>Số VĐV cấp 1</t>
  </si>
  <si>
    <t xml:space="preserve"> Số huy chương các loại đạt được hàng năm</t>
  </si>
  <si>
    <t>Du lịch</t>
  </si>
  <si>
    <t>Số lượt khách du lịch đến Điện Biên</t>
  </si>
  <si>
    <t>Trong đó:  Số lượt khách khách Quốc tế:</t>
  </si>
  <si>
    <t xml:space="preserve">                  - Khách nội địa</t>
  </si>
  <si>
    <t xml:space="preserve"> Thu nhập XH từ hoạt động du lịch </t>
  </si>
  <si>
    <t>Số ngày lưu trú bình quân khách nội địa</t>
  </si>
  <si>
    <t xml:space="preserve"> Số ngày lưu trú bình quân của  khách quốc tế:</t>
  </si>
  <si>
    <t>CHI TIẾT THEO LĨNH VỰC</t>
  </si>
  <si>
    <t xml:space="preserve"> Văn hóa - gia đình:</t>
  </si>
  <si>
    <t xml:space="preserve"> Điện ảnh</t>
  </si>
  <si>
    <t>Số buổi hoạt động của đội VNQC</t>
  </si>
  <si>
    <t xml:space="preserve"> Số lượt người dân được xem nghệ thuậtquần chúng hàng năm</t>
  </si>
  <si>
    <t>Số hộ đăng ký tiêu chuẩn GĐ VH</t>
  </si>
  <si>
    <t xml:space="preserve">Số gia đình đạt tiêu chuẩn VH ; </t>
  </si>
  <si>
    <t>Số bản làng văn hóa đăng ký đạt tiêu chuẩn VH</t>
  </si>
  <si>
    <t xml:space="preserve">Số thôn , bản  đạt tiêu chuẩn VH; </t>
  </si>
  <si>
    <t>Số cơ quan , đơn vị trường học đăng ký XD đời sống VH</t>
  </si>
  <si>
    <t>Số cơ quan, đơn vị, DN đạt tiêu chuẩn VH;</t>
  </si>
  <si>
    <t>Tỷ lệ cơ quan , đơn vị DN, trường học đạt VH chiếm trong tổng số cơ quan, đơn vị, trường học  toàn tỉnh</t>
  </si>
  <si>
    <t>Số xã đạt chuẩn văn hóa nông thôn mới</t>
  </si>
  <si>
    <t>Tỷ lệ xã đạt chuẩn văn hóa nông thôn mới</t>
  </si>
  <si>
    <t>Số xã phường có ban chỉ đạo mô hình phòng chống bạo lực gia đình</t>
  </si>
  <si>
    <t xml:space="preserve">Tỷ lệ thôn, bản, tổ dân phố có câu lạc bộ gia đình phát triển bền vững </t>
  </si>
  <si>
    <t xml:space="preserve">Số thôn, bản, tổ dân phố có câu lạc bộ gia đình phát triển bền vững </t>
  </si>
  <si>
    <t>Tuyên truyền lưu động</t>
  </si>
  <si>
    <t>Số buổi hoạt động tuyên truyền</t>
  </si>
  <si>
    <t xml:space="preserve"> Số lượt người được tuyên truyền đường lối, chủ trương của Đảng và Pháp luật của Nhà nước </t>
  </si>
  <si>
    <t xml:space="preserve"> B/Q lượt người dân được tuyên truyền</t>
  </si>
  <si>
    <t>Thư viện</t>
  </si>
  <si>
    <t>Số huyện, thị thành phố có nhà Thư viện;</t>
  </si>
  <si>
    <t xml:space="preserve"> Tổng số sách có trong hệ thống thư viện công cộng</t>
  </si>
  <si>
    <t xml:space="preserve"> Trong đó: +Số sách có trong Thư Viện tỉnh;</t>
  </si>
  <si>
    <t xml:space="preserve"> +Số sách có trong Thư Viện  huyện ;</t>
  </si>
  <si>
    <t xml:space="preserve"> Số lượt người đến thư viện</t>
  </si>
  <si>
    <t xml:space="preserve"> Trong đó: + Số lượt độc giả đến Thư viện tỉnh</t>
  </si>
  <si>
    <t xml:space="preserve"> + Số lượt độc giả đến Thư viện huyện </t>
  </si>
  <si>
    <t xml:space="preserve"> Số lượt độc giả là trẻ em hàng năm</t>
  </si>
  <si>
    <t>Phát hành sách</t>
  </si>
  <si>
    <t>Số sách, văn hóa phẩm phát hành</t>
  </si>
  <si>
    <t xml:space="preserve"> - Sách tài trợ cho trường học</t>
  </si>
  <si>
    <t xml:space="preserve"> - Sách phục vụ thiếu niên</t>
  </si>
  <si>
    <t xml:space="preserve"> - Các loại sách khác</t>
  </si>
  <si>
    <t xml:space="preserve">  - Phát hành văn hóa phẩm</t>
  </si>
  <si>
    <t xml:space="preserve"> Mức B/Q xuất bản phẩm/ người dân/năm</t>
  </si>
  <si>
    <t xml:space="preserve"> Tỷ lệ huyện có TTVHTT</t>
  </si>
  <si>
    <t xml:space="preserve"> Số huyện, thị xã, thành phố có nhà văn hóa, thể thao (TTVHTT) đến thời điểm báo cáo</t>
  </si>
  <si>
    <t xml:space="preserve"> Tỷ lệ huyện có nhà văn hóa, thể thao</t>
  </si>
  <si>
    <t xml:space="preserve"> Số xã có nhà văn hóa, thể thao đến thời điểm báo cáo</t>
  </si>
  <si>
    <t xml:space="preserve"> Tỷ lệ xã có nhà văn hóa, thể thao chiếm trong tổng số xã toàn tỉnh</t>
  </si>
  <si>
    <t xml:space="preserve"> Số thôn,bản, tổ DP có nhà văn hóa, thể thao đến thời điểm báo cáo </t>
  </si>
  <si>
    <t xml:space="preserve"> Tỷ lệ thôn,bản, tổ DP có nhà văn hóa, thể thao chiếm trong tổng thôn bản toàn tỉnh</t>
  </si>
  <si>
    <t xml:space="preserve"> Số lượt khách đến tham quan hàng năm</t>
  </si>
  <si>
    <t xml:space="preserve"> Trong đó Khách quốc tế:</t>
  </si>
  <si>
    <t xml:space="preserve"> Số di tích được xếp hạng đến cuối kỳ BC</t>
  </si>
  <si>
    <t xml:space="preserve"> Số loại hình văn hóa phi vật thể của các dân tộc thiểu số được bảo tồn hàng năm</t>
  </si>
  <si>
    <t xml:space="preserve"> Tổng số hiện vật có trong bảo tàng đến cuối kỳ báo cáo</t>
  </si>
  <si>
    <t>Thể dục -Thể thao</t>
  </si>
  <si>
    <t>Thể thao quần chúng</t>
  </si>
  <si>
    <t>Số  người tham gia luyện tập thường xuyên  ít nhất 01 môn thể thao</t>
  </si>
  <si>
    <t>Thể thao thành tích cao</t>
  </si>
  <si>
    <t xml:space="preserve"> Số VĐV đẳng cấp đạt kiện tướng hàng năm</t>
  </si>
  <si>
    <t xml:space="preserve">  Số VĐV cấp I</t>
  </si>
  <si>
    <t xml:space="preserve"> Tổng số huy chương các loại</t>
  </si>
  <si>
    <t xml:space="preserve">Du lịch </t>
  </si>
  <si>
    <t xml:space="preserve">  Số bản đủ tiêu chuẩn đón khách du lịch quốc tế</t>
  </si>
  <si>
    <t>III</t>
  </si>
  <si>
    <t>IV</t>
  </si>
  <si>
    <t>5</t>
  </si>
  <si>
    <t>6</t>
  </si>
  <si>
    <t>7</t>
  </si>
  <si>
    <t>8</t>
  </si>
  <si>
    <t>VI</t>
  </si>
  <si>
    <t>7.1</t>
  </si>
  <si>
    <t>7.2</t>
  </si>
  <si>
    <t>8.2</t>
  </si>
  <si>
    <t>8.3</t>
  </si>
  <si>
    <t>8.4</t>
  </si>
  <si>
    <t>8.5</t>
  </si>
  <si>
    <t>8.6</t>
  </si>
  <si>
    <t>8.7</t>
  </si>
  <si>
    <t>8.8</t>
  </si>
  <si>
    <t>2.1</t>
  </si>
  <si>
    <t>2.2</t>
  </si>
  <si>
    <t>2.3</t>
  </si>
  <si>
    <t>2.4</t>
  </si>
  <si>
    <t>2</t>
  </si>
  <si>
    <t>3</t>
  </si>
  <si>
    <t>4</t>
  </si>
  <si>
    <t>%</t>
  </si>
  <si>
    <t>Di tích</t>
  </si>
  <si>
    <t>Loại</t>
  </si>
  <si>
    <t>Người</t>
  </si>
  <si>
    <t>Gia đình</t>
  </si>
  <si>
    <t>VĐV</t>
  </si>
  <si>
    <t>Huy chương</t>
  </si>
  <si>
    <t>1000 lượt</t>
  </si>
  <si>
    <t>Tỷ đồng</t>
  </si>
  <si>
    <t>Ngày</t>
  </si>
  <si>
    <t>Lượt người</t>
  </si>
  <si>
    <t>Buổi</t>
  </si>
  <si>
    <t>Hội diễn</t>
  </si>
  <si>
    <t>Bản</t>
  </si>
  <si>
    <t>Cơ quan</t>
  </si>
  <si>
    <t>Xã</t>
  </si>
  <si>
    <t>Ban</t>
  </si>
  <si>
    <t>CLB</t>
  </si>
  <si>
    <t>Bản sách</t>
  </si>
  <si>
    <t>lượt trẻ em</t>
  </si>
  <si>
    <t>1000 bản</t>
  </si>
  <si>
    <t>Bản sách/người/năm</t>
  </si>
  <si>
    <t>Nhà VH</t>
  </si>
  <si>
    <t>Lượt khách</t>
  </si>
  <si>
    <t>Loại hình</t>
  </si>
  <si>
    <t>Hiện vật</t>
  </si>
  <si>
    <t>HC</t>
  </si>
  <si>
    <t>nt</t>
  </si>
  <si>
    <t>Ước thực hiện 2011-2015</t>
  </si>
  <si>
    <t>Đầu tư xây dựng Bể bơi (Phường Him Lam).</t>
  </si>
  <si>
    <t>Đầu tư xây dựng trường Năng khiếu TDTT (Phường Tân Thanh).</t>
  </si>
  <si>
    <t>Đầu tư xây dựng Sân vận động, hạ tầng kỹ thuật (Phường Him Lam).</t>
  </si>
  <si>
    <t>Xây dựng mới 3 Bể bơi (Tuần giáo, Mường Lay, Tủa Chùa).</t>
  </si>
  <si>
    <t>Xây dựng mới 3 sận vận động có khán đài (Tuần Giáo, Mường Nhé, Nậm Pồ).</t>
  </si>
  <si>
    <t>Xây dựng mới 01 Nhà thi đấu 1000 chỗ (Tuần Giáo).</t>
  </si>
  <si>
    <t>Nâng cấp 01 sân vận động có Khán đài (Tủa Chùa).</t>
  </si>
  <si>
    <t>Ngân sách địa phương</t>
  </si>
  <si>
    <t>Xây dựng sân thể thao phổ thông (50 sân x 1 tỷ/sân).</t>
  </si>
  <si>
    <t>Xây dựng phòng tập phổ thông (50 phòng x 1 tỷ/phòng).</t>
  </si>
  <si>
    <t>Số hiện vật mới sưu tầm</t>
  </si>
  <si>
    <t>Số phường, thị trấn đạt chuẩn văn minh đô thị.</t>
  </si>
  <si>
    <t>Tỷ lệ phường đạt chuẩn văn minh đô thị</t>
  </si>
  <si>
    <t>87,3</t>
  </si>
  <si>
    <t>Số di tích được tôn tạo trong kỳ</t>
  </si>
  <si>
    <t xml:space="preserve"> - Sách khoa học, kỹ thuật</t>
  </si>
  <si>
    <t xml:space="preserve"> - Sách chính trị, pháp luật</t>
  </si>
  <si>
    <t>Số buổi diễn nghệ thuật chuyên nghiêp/năm</t>
  </si>
  <si>
    <t xml:space="preserve"> Số lượt người dân được xem nghệ thuật chuyên nghiệp hàng năm</t>
  </si>
  <si>
    <t>1000 lượt người</t>
  </si>
  <si>
    <t>Số buổi chiếu phục vụ nhiệm vụ chính tri</t>
  </si>
  <si>
    <t>Số buổi chiếu phục vụ vùng cao</t>
  </si>
  <si>
    <t xml:space="preserve">Số lượt người dân được xem chiếu bóng </t>
  </si>
  <si>
    <t xml:space="preserve">Số lượt trẻ em được xem chiếu bóng </t>
  </si>
  <si>
    <t xml:space="preserve">Số lượt người dân vùng cao được xem chiếu bóng </t>
  </si>
  <si>
    <t>Xây dựng cụm rạp chiếu phim Điện Biên Phủ</t>
  </si>
  <si>
    <t>Xây dựng Rạp chiếu phim đa năng huyện Tuần Giáo</t>
  </si>
  <si>
    <t>Theo Quyết định 88/QĐ-TTg ngày 09/01/2013 của TT Chính phủ</t>
  </si>
  <si>
    <t>Công trình nhà hát thành phố ĐBP (Quy mô từ 1300-1500 ghế)</t>
  </si>
  <si>
    <t>Các công trình phục vụ thể thao</t>
  </si>
  <si>
    <t>Chương trình ca múa nhạc mới dàn dựng  được trong năm</t>
  </si>
  <si>
    <t>Chương trình</t>
  </si>
  <si>
    <t>XD chương trình phục vụ nhiệm vụ chính trị</t>
  </si>
  <si>
    <t>Lượt/người/năm</t>
  </si>
  <si>
    <t xml:space="preserve"> - Lồng tiếng phim bằng tiếng DT</t>
  </si>
  <si>
    <t xml:space="preserve"> Phim/ băng</t>
  </si>
  <si>
    <t>25/483</t>
  </si>
  <si>
    <t xml:space="preserve"> - S/X  phim phóng sự tài liệu phục vụ vùng cao</t>
  </si>
  <si>
    <t xml:space="preserve"> 8/950</t>
  </si>
  <si>
    <t xml:space="preserve"> Lĩnh vực dịch vụ công</t>
  </si>
  <si>
    <t xml:space="preserve">  - Phát hành phim video</t>
  </si>
  <si>
    <t xml:space="preserve"> 400/14.177</t>
  </si>
  <si>
    <t xml:space="preserve"> XD chương trình TTLĐ mới </t>
  </si>
  <si>
    <t>Trong đó của tỉnh</t>
  </si>
  <si>
    <t>1000 lượt  người</t>
  </si>
  <si>
    <t xml:space="preserve"> Sáng tác tranh mẫu cho cơ sở</t>
  </si>
  <si>
    <t xml:space="preserve"> Mẫu/ bản</t>
  </si>
  <si>
    <t>6/66</t>
  </si>
  <si>
    <t>Xuất bản ảnh triển lãm</t>
  </si>
  <si>
    <t>Bộ/bản</t>
  </si>
  <si>
    <t>1/33</t>
  </si>
  <si>
    <t>Xuất bản cuốn VHTTDL Điện Biên</t>
  </si>
  <si>
    <t>Số/bản</t>
  </si>
  <si>
    <t xml:space="preserve">Xuất bản sách hướng dẫn nghiệp vụ văn hóa cơ sở:
</t>
  </si>
  <si>
    <t>Cuốn/Bản</t>
  </si>
  <si>
    <t>1/300</t>
  </si>
  <si>
    <t xml:space="preserve"> Băng, cờ, khẩu hiệu tuyên truyền (tính theo lượt băng căng treo tuyên truyền)</t>
  </si>
  <si>
    <t>Lượt băng</t>
  </si>
  <si>
    <t>Nghê thuật chuyên nghiệp</t>
  </si>
  <si>
    <t>Nghệ thuật quần chúng</t>
  </si>
  <si>
    <t>Đội</t>
  </si>
  <si>
    <t xml:space="preserve"> Duy trì và phát triển các Câu lạc bộ văn hóa</t>
  </si>
  <si>
    <t>Lớp</t>
  </si>
  <si>
    <t xml:space="preserve"> Mở lớp bồi dưỡng nghiệp vụ cho cơ sở </t>
  </si>
  <si>
    <t>Ước thực hiện
 2011-2015</t>
  </si>
  <si>
    <t>Sách phù hợp với thiếu nhi</t>
  </si>
  <si>
    <t>Số thẻ thư viện cấp cho độc giả</t>
  </si>
  <si>
    <t>Thẻ</t>
  </si>
  <si>
    <t>Thư viện tỉnh</t>
  </si>
  <si>
    <t>Thẻ thiếu nhi</t>
  </si>
  <si>
    <t>Thư viện huyện</t>
  </si>
  <si>
    <t xml:space="preserve"> Số lượt sách, báo luân chuyển</t>
  </si>
  <si>
    <t xml:space="preserve"> Trong đó: - Thư viện tỉnh</t>
  </si>
  <si>
    <t xml:space="preserve">               -  Thư viện  huyện</t>
  </si>
  <si>
    <t xml:space="preserve">Lượt </t>
  </si>
  <si>
    <t xml:space="preserve"> Số cuộc triển lãm giới thiệu sách trong  kỳ; </t>
  </si>
  <si>
    <t xml:space="preserve"> Số cuộc thi kể truyện theo sách </t>
  </si>
  <si>
    <t xml:space="preserve">Số lớp tập huấn nghiệp vụ cho cán bộ thư viện cơ sở </t>
  </si>
  <si>
    <t xml:space="preserve"> Bảo tồn, tôn tạo di tích TT đề kháng Him Lam </t>
  </si>
  <si>
    <t>Bảo tàng chiến thắng Điện Biên Phủ giai đoạn II</t>
  </si>
  <si>
    <t xml:space="preserve">Bảo tồn, tôn tạo di tích trung tâm tập đoàn cứ điểm Điện Biên Phủ </t>
  </si>
  <si>
    <t>Khôi phục bản Thái cổ ( noong Nhai)</t>
  </si>
  <si>
    <t xml:space="preserve">Trận địa bao vây tấn công của Bộ đội ta </t>
  </si>
  <si>
    <t xml:space="preserve">Khoanh vùng cắm mốc </t>
  </si>
  <si>
    <t xml:space="preserve">Bảo tồn tôn tao 3điểm /24 điểm di tích </t>
  </si>
  <si>
    <t>Các công trình Bảo tồn, tôn tạo và phát huy giá trị di tích chiến thắng Điện Biên Phủ</t>
  </si>
  <si>
    <t>3.1</t>
  </si>
  <si>
    <t>3.2</t>
  </si>
  <si>
    <t>3.3</t>
  </si>
  <si>
    <t>3.4</t>
  </si>
  <si>
    <t>3.5</t>
  </si>
  <si>
    <t>3.6</t>
  </si>
  <si>
    <t>3.7</t>
  </si>
  <si>
    <t>Dự án tiếp chi</t>
  </si>
  <si>
    <t>Dự án dự kiến khởi công mới</t>
  </si>
  <si>
    <t>Thực hiện Đề án phát triển hệ thông thiết chế văn hóa, thể thao cơ sở</t>
  </si>
  <si>
    <t xml:space="preserve">Thực hiện Bảo tồn và phát triển văn hóa các dân tộc tỉnh Điện Biên gắn với phát triển kinh tế - xã hội đến năm 2015, định hướng đến năm 2020 </t>
  </si>
  <si>
    <t>Đầu tư bảo tồn một số bản văn hóa truyền thống tiêu biểu của các dân tộc thiểu số (DT Cống; Mông hoặc Si La Dao, Hà Nhì, Kháng, Khơ Mú, Phù Lá)</t>
  </si>
  <si>
    <t xml:space="preserve">ĐTXD trụ sở làm việc và các công trình phụ trợ của Bảo tàng tỉnh </t>
  </si>
  <si>
    <t>ĐTXD nhà trưng bầy Bảo tàng tỉnh</t>
  </si>
  <si>
    <t>Mô hình  không gian thu nhỏ của các dân tộc trong tỉnh</t>
  </si>
  <si>
    <t xml:space="preserve"> Đầu tư  trang thiết bị và xây dựng sàn tập</t>
  </si>
  <si>
    <t>4.1</t>
  </si>
  <si>
    <t>Xây dựng 39 Nhà luyện tập thể chất tại các trường học (15 TH, 17 THCS, 07 THPT).</t>
  </si>
  <si>
    <t>Xây dựng 15 Bể bơi tại các trường học (06 TH, 07 THCS, 02 THPT).</t>
  </si>
  <si>
    <t>Nguồn NS TƯ hỗ trợ</t>
  </si>
  <si>
    <t>Đầu tư xây dựng hạ tầng du lịch</t>
  </si>
  <si>
    <t>Bảo tồn tôn tạo 05 di tích lịch sử đã được xếp hạng cấp Quốc gia (không kể Quần thể di tích chiến trường Điện Biên Phủ)</t>
  </si>
  <si>
    <t>Bảo tồn tôn tạo 05 di tích lịch sử đã được xếp hạng cấp tỉnh</t>
  </si>
  <si>
    <t>Xây dựng 55 Nhà văn hóa, thể thao cấp xã</t>
  </si>
  <si>
    <t>Xây dựng 03 trung tâm văn hóa cấp huyện</t>
  </si>
  <si>
    <t>XD 180 nhà văn hóa thôn, bản, tổ dân phố</t>
  </si>
  <si>
    <t>Xây dựng sân bóng đá Mi ni thôn, bản (156 x 0,5 tỷ/ sân).</t>
  </si>
  <si>
    <t>Bình quân lượt xem chiếu bóng/người/năm</t>
  </si>
  <si>
    <t xml:space="preserve">Số hội diễn văn nghệ được tổ chức </t>
  </si>
  <si>
    <t xml:space="preserve"> Số lễ hội của các dân tộc thiểu số được nghiên cứu, bảo tồn</t>
  </si>
  <si>
    <t>12/2400</t>
  </si>
  <si>
    <t>Biển</t>
  </si>
  <si>
    <t>Trong đó: Sở VHTTDL quản lý</t>
  </si>
  <si>
    <t>Biển cổ động cố định</t>
  </si>
  <si>
    <t>Lễ hội</t>
  </si>
  <si>
    <t>Trong đó: Cấp tỉnh</t>
  </si>
  <si>
    <t>4.2</t>
  </si>
  <si>
    <t xml:space="preserve"> - Số buổi phục vụ tại rạp </t>
  </si>
  <si>
    <t>Số lớp tập huấn nghiệp vụ cho cán bộ đội chiếu phim lưu động</t>
  </si>
  <si>
    <t>BQ số lượt người được xem nghệ thuật chuyên nghiệp</t>
  </si>
  <si>
    <t>B/Q hưởng thụ nghệ thuật quần chúng</t>
  </si>
  <si>
    <t xml:space="preserve">               Tham dự khu vực và toàn quốc</t>
  </si>
  <si>
    <t>30/330</t>
  </si>
  <si>
    <t>5/165</t>
  </si>
  <si>
    <t>60/2400</t>
  </si>
  <si>
    <t>Số huyện, thị thành phố có thư viện</t>
  </si>
  <si>
    <t>Giải</t>
  </si>
  <si>
    <t>Khu du lịch Quốc gia Điện Biên Phủ - Pá Khoang - Mường Phăng</t>
  </si>
  <si>
    <t>Dự án đầu tư cơ sở hạ tầng Khu du lịch sông Đà tại thị xã Mường Lay</t>
  </si>
  <si>
    <t>Dự án nâng cấp cơ sở hạ tầng du lịch Ngã ba biên giới APaChải</t>
  </si>
  <si>
    <t>Xây dựng các điểm dưng chân trên các tuyến quốc lộ</t>
  </si>
  <si>
    <t>Khu du lịch nước khoáng nóng Bản Sáng</t>
  </si>
  <si>
    <t xml:space="preserve">Khu Du lịch Đèo Pha Đin </t>
  </si>
  <si>
    <t>Huy động ngoài ngân sách</t>
  </si>
  <si>
    <t>*</t>
  </si>
  <si>
    <t>(Kèm theo báo cáo số …../BC-SVHTTDL ngày ….tháng 9 năm 2014 của Sở Văn hóa, Thể thao và Du lịch tỉnh Điện Biên)</t>
  </si>
  <si>
    <t>XD nhà văn hóa thôn, bản, tổ dân phố</t>
  </si>
  <si>
    <t xml:space="preserve">Xây dựng sân thể thao phổ thông </t>
  </si>
  <si>
    <t xml:space="preserve">Xây dựng phòng tập phổ thông </t>
  </si>
  <si>
    <t xml:space="preserve">Xây dựng sân bóng đá Mi ni thôn, bản </t>
  </si>
  <si>
    <t>6.1</t>
  </si>
  <si>
    <t>6.2</t>
  </si>
  <si>
    <t>6.3</t>
  </si>
  <si>
    <t>6.4</t>
  </si>
  <si>
    <t>4.3</t>
  </si>
  <si>
    <t>4.4</t>
  </si>
  <si>
    <t>4.5</t>
  </si>
  <si>
    <t>4.6</t>
  </si>
  <si>
    <t>1.1</t>
  </si>
  <si>
    <t>1.2</t>
  </si>
  <si>
    <t>1.3</t>
  </si>
  <si>
    <t>1.4</t>
  </si>
  <si>
    <t>1.5</t>
  </si>
  <si>
    <t>1.6</t>
  </si>
  <si>
    <t>1.7</t>
  </si>
  <si>
    <t>5,2</t>
  </si>
  <si>
    <t>Số Đội văn nghệ quần chúng ở thôn, bản</t>
  </si>
  <si>
    <t>Thu sự nghiệp</t>
  </si>
  <si>
    <t>TÌNH HÌNH THỰC HIỆN KẾ HOẠCH GIAI ĐOẠN 2011-2015 VÀ DỰ KIẾN KẾ HOẠCH 5 NĂM 2016-2020
VỀ DỰ TOÁN THU, CHI NGÂN SÁCH NHÀ NƯỚC</t>
  </si>
  <si>
    <t>Nội dung</t>
  </si>
  <si>
    <t>Giai đoạn 2011-2015</t>
  </si>
  <si>
    <t>Giai đoạn 2016-2020</t>
  </si>
  <si>
    <t>Kế hoạch</t>
  </si>
  <si>
    <t>Ước thực hiện</t>
  </si>
  <si>
    <t>Mục tiêu 2016-2020</t>
  </si>
  <si>
    <t>Thu sự nghiệp văn hóa, thể thao và du lịch</t>
  </si>
  <si>
    <t>Thu sự nghiệp khác</t>
  </si>
  <si>
    <t>Tổng chi</t>
  </si>
  <si>
    <t>Vốn chuẩn bị đầu tư</t>
  </si>
  <si>
    <t>Vốn thực hiện dự án</t>
  </si>
  <si>
    <t>Chi Ngân sách sự nghiệp cấp sở</t>
  </si>
  <si>
    <t xml:space="preserve">Chi cho văn hóa </t>
  </si>
  <si>
    <t>Chi cho gia đình</t>
  </si>
  <si>
    <t>Chi cho thể thao</t>
  </si>
  <si>
    <t>Chi cho Du lịch</t>
  </si>
  <si>
    <t>Chi sự nghiệp kinh tế</t>
  </si>
  <si>
    <t>Sự nghiệp VHTTDL cấp huyện</t>
  </si>
  <si>
    <t>Chương trình MTQG</t>
  </si>
  <si>
    <t>Số TT</t>
  </si>
  <si>
    <t>Tên công trình, dự án</t>
  </si>
  <si>
    <t>Địa điểm XD</t>
  </si>
  <si>
    <t>Năng lực thiết kế</t>
  </si>
  <si>
    <t>Thời gian KC-HT</t>
  </si>
  <si>
    <t>Quyết định đầu tư</t>
  </si>
  <si>
    <t>Quyết định đầu tư 
điều chỉnh</t>
  </si>
  <si>
    <t>Lũy kế thực hiện từ KC đến 31/12/2012</t>
  </si>
  <si>
    <t xml:space="preserve">Kế hoạch vốn được giao
</t>
  </si>
  <si>
    <t>Ước TH quý I/2013</t>
  </si>
  <si>
    <t>Ước TH quý II/2013</t>
  </si>
  <si>
    <t>Ước TH quý III/2013</t>
  </si>
  <si>
    <t>Ước TH quý IV/2013</t>
  </si>
  <si>
    <t>Lũy kế từ 01/01/2013 đến thời điểm BC</t>
  </si>
  <si>
    <t>Lũy kế thực hiện từ KC đến 31/12/2013</t>
  </si>
  <si>
    <t>Ước TH quý I/2014</t>
  </si>
  <si>
    <t>Ước TH quý II/2014</t>
  </si>
  <si>
    <t>Ước TH quý III/2014</t>
  </si>
  <si>
    <t>Ước TH quý IV/2014</t>
  </si>
  <si>
    <t>Lũy kế từ 01/01/2014 đến thời điểm BC</t>
  </si>
  <si>
    <t>Ghi chú</t>
  </si>
  <si>
    <t xml:space="preserve">Số quyết định </t>
  </si>
  <si>
    <t xml:space="preserve">TMĐT </t>
  </si>
  <si>
    <t>Khối lượng thực hiện</t>
  </si>
  <si>
    <t>Giải ngân</t>
  </si>
  <si>
    <t>Lũy kế từ khởi công</t>
  </si>
  <si>
    <t xml:space="preserve">Khối lượng thực hiện </t>
  </si>
  <si>
    <t xml:space="preserve">Giải ngân </t>
  </si>
  <si>
    <t>Năm 2014</t>
  </si>
  <si>
    <t>Tổng số</t>
  </si>
  <si>
    <t>Vốn NSTƯ, XDCB tập trung</t>
  </si>
  <si>
    <t>Công trình trung tâm TDTT giai đoan I (phần I) thuộc dự án tổng thể đầu tư XD trung tâm TDTT tỉnh ĐB</t>
  </si>
  <si>
    <t>Phường Him Lam TPĐBP</t>
  </si>
  <si>
    <t>2002-2010</t>
  </si>
  <si>
    <t>721/QĐ-UB ngày 15/5/2002</t>
  </si>
  <si>
    <t xml:space="preserve">1070/QĐ-UBND ngày 26/11/2012 </t>
  </si>
  <si>
    <t>Đền bù giải phóng mặt bằng</t>
  </si>
  <si>
    <t>Gói thầu số 4: Nhà thi đấu đa năng</t>
  </si>
  <si>
    <t>Gói thầu số 2: San nền và gia cố ta luy</t>
  </si>
  <si>
    <t>Gói thầu số 3: Hạ tầng kỹ thuật</t>
  </si>
  <si>
    <t xml:space="preserve">Gói thầu số 07: Trạm biến áp, đường cấp điện ngoại tuyến, điện chiếu sáng sân đường </t>
  </si>
  <si>
    <t>Gói thầu Chứng nhận phù hợp</t>
  </si>
  <si>
    <t>Kiểm định giàn không gian</t>
  </si>
  <si>
    <t>Gói số 8 (Phòng cháy, chữa cháy nhà thi đấu)</t>
  </si>
  <si>
    <t>Gói thầu số 5: Rà phá bom mìn</t>
  </si>
  <si>
    <t>Gói thầu số 06: Phòng chống mối</t>
  </si>
  <si>
    <t>Gói số 9: Thiết bị nhà thi đấu</t>
  </si>
  <si>
    <t>Gói số  10: Trang thiết bị, dụng cụ - tập luyện và thi đấu thể thao</t>
  </si>
  <si>
    <t>Gói thầu kiểm toán</t>
  </si>
  <si>
    <t>Gói thầu xây dựng bổ sung đường dây 0,4KV cấp điện cho nhà thi đấu đa năng;</t>
  </si>
  <si>
    <t>Chi phí khác</t>
  </si>
  <si>
    <t>Dự phòng</t>
  </si>
  <si>
    <t>Lắp đặt hệ thống bảng tuyên truyền cổ động phục vụ kỷ niệm 60 năm Chiến thắng Điện Biên Phủ</t>
  </si>
  <si>
    <t>TP ĐBP; TT Tuần Giáo; Mường Ảng; Mường Chà; Mường Lay</t>
  </si>
  <si>
    <t>2013-2014</t>
  </si>
  <si>
    <t>1402/SVHTTDL</t>
  </si>
  <si>
    <t>745/QĐ-SVHTTDL ngày 11/6/2014</t>
  </si>
  <si>
    <t>Xây lắp</t>
  </si>
  <si>
    <t>Đền bù GPMB</t>
  </si>
  <si>
    <t>Chi phí QLDA</t>
  </si>
  <si>
    <t>Chi phí tư vấn đầu tư XD</t>
  </si>
  <si>
    <t>-</t>
  </si>
  <si>
    <t>Chi phí lập dự án đầu tư</t>
  </si>
  <si>
    <t>Chi phí thiết kế BVTC</t>
  </si>
  <si>
    <t>Chi phí thẩm tra thiết kế KT; thiết kế BVTC</t>
  </si>
  <si>
    <t>Chi phí thẩm tra dự toán</t>
  </si>
  <si>
    <t>Chi phí lập HSMT; đánh già hồ sơ dự thầu</t>
  </si>
  <si>
    <t>Chi phí giám sát thi công XD</t>
  </si>
  <si>
    <t>Chi phí dự phòng</t>
  </si>
  <si>
    <t>DA Bảo tồn bản truyền thống dân tộc Thái, bản Che Căn</t>
  </si>
  <si>
    <t>Bản Che Căn - M.Phăng</t>
  </si>
  <si>
    <t xml:space="preserve">số 389/QĐ-UBND ngày 13/4/2010 </t>
  </si>
  <si>
    <t>202/QĐ - SVHTTDL ngày 28/02/2011</t>
  </si>
  <si>
    <t>HT 2013</t>
  </si>
  <si>
    <t>Chi phí xây dựng</t>
  </si>
  <si>
    <t>Chi phí bảo tồn văn hóa phi vật thể</t>
  </si>
  <si>
    <t>Chi phí QLDA đầu tư XDCT</t>
  </si>
  <si>
    <t>Chi phí đền bù giải phóng mặt bằng</t>
  </si>
  <si>
    <t>Công trình: Chỉnh trang, tôn tạo di tích Khu sở chỉ huy chiến dịch Mường Phăng</t>
  </si>
  <si>
    <t>Xã Mường Phăng, Huyện Điện Biên</t>
  </si>
  <si>
    <t>Số 1579/QĐ - SVHTTDL ngày 16/12/2013</t>
  </si>
  <si>
    <t>Chi phí tư vấn ĐTXD</t>
  </si>
  <si>
    <t>Công trình: Cải tạo, nâng cấp bổ sung một số hạng mục CT: Cải tạo, sửa chữa nâng cấp Sân vận động tỉnh.</t>
  </si>
  <si>
    <t>Thành phố Điện Biên Phủ</t>
  </si>
  <si>
    <t>Số 1580/QĐ - SVHTTDL ngày 16/12/2013</t>
  </si>
  <si>
    <t>Công trình: Chỉnh trang, tôn tạo một số hạng mục thuộc di tích Đường kéo pháo, trận địa pháo 105, trận địa pháo H6</t>
  </si>
  <si>
    <t>Xã Nà Nhạn, Huyện Điện Biên</t>
  </si>
  <si>
    <t>số 1581/QĐ-SVHTTDL ngày 16/12/2013</t>
  </si>
  <si>
    <t>Công trình: Đầu tư, nâng cấp bổ sung một số hạng mục Trung tâm văn hóa Hội Cựu chiến binh tại đồi E</t>
  </si>
  <si>
    <t>TP Điện Biên Phủ, tỉnh Điện Biên</t>
  </si>
  <si>
    <t>số 1582/QĐ-SVHTTDL ngày 16/12/2013</t>
  </si>
  <si>
    <t>Chi phí xây dựng +Thiết bị</t>
  </si>
  <si>
    <t>Công trình: Chỉnh trang, tôn tạo một số hạng mục Tượng đài chiến thắng Điện Biên Phủ (Gồm các hạng mục Đường dạo; Nhà vệ sinh)</t>
  </si>
  <si>
    <t>TP Điện Biên Phủ</t>
  </si>
  <si>
    <t>Số 1583/QĐ - SVHTTDL ngày 16/12/2013</t>
  </si>
  <si>
    <t>Công trình: Xây dựng Sa Bàn diến biến chiến dịch Điện Biên Phủ</t>
  </si>
  <si>
    <t>Bảo tàng CTLSĐBP</t>
  </si>
  <si>
    <t>1584/QĐ - SVHTTDL ngày 16/12/2013</t>
  </si>
  <si>
    <t>Vốn CTMT quốc gia</t>
  </si>
  <si>
    <t>Xã Mường Phăng - H.ĐB</t>
  </si>
  <si>
    <t>HT2013</t>
  </si>
  <si>
    <t>DA bảo tồn tôn tạo tháp Mường Luân giai đoạn II, Huyện Điện Biên Đông, tỉnh Điện Biên</t>
  </si>
  <si>
    <t>Xã mường luân - H.ĐBĐ</t>
  </si>
  <si>
    <t>2012-2014</t>
  </si>
  <si>
    <t>số 207/QĐ - SVHTTDL ngày 30/01/2013</t>
  </si>
  <si>
    <t>Khảo sát, thiết kế lập BCKTKT</t>
  </si>
  <si>
    <t>Chi phí khoanh vùng cắm mốc quy hoạch tháp</t>
  </si>
  <si>
    <t>Thẩm tra thiết kế BVTC, DT</t>
  </si>
  <si>
    <t>Giám sát thi cộng xây dựng</t>
  </si>
  <si>
    <t>Gói thầu bảo hiểm công trình</t>
  </si>
  <si>
    <t>Chi phí lựa chọn nhà thầu thi công xây dựng</t>
  </si>
  <si>
    <t>Thẩm định BCKTKT</t>
  </si>
  <si>
    <t>Chi phí thẩm tra phê duyệt QT</t>
  </si>
  <si>
    <t>DA bảo tồn tôn tạo tháp Chiềng Sơ</t>
  </si>
  <si>
    <t>Xã Chiềng Sơ - H.ĐBĐ</t>
  </si>
  <si>
    <t>2012-2013</t>
  </si>
  <si>
    <t>Số 206/QĐ - SVHTTDL  ngày 30/01/2013</t>
  </si>
  <si>
    <t>Đang Thi công</t>
  </si>
  <si>
    <t>DA bảo tồn tôn tạo tháp Thành Sam Mứn</t>
  </si>
  <si>
    <t>Xã Sam Mứn - H.ĐB</t>
  </si>
  <si>
    <t>số 205/QĐ-SVHTTDL 30/01/2013</t>
  </si>
  <si>
    <t>Gói thầu xây lắp Sa bàn</t>
  </si>
  <si>
    <t>Chi phí điều tra, khảo sát khai quật khảo cổ học</t>
  </si>
  <si>
    <t>Bảo tồn, tôn tạo Di tích Động Pa Thơm - Huyện Điện Biên</t>
  </si>
  <si>
    <t>Xa Pa Thơm-H.Điện Biên</t>
  </si>
  <si>
    <t>số 1202/QĐ-SVHTTDL 01/10/2013</t>
  </si>
  <si>
    <t>Chi phí Khảo sát địa hình</t>
  </si>
  <si>
    <t>CP khảo sát địa chất</t>
  </si>
  <si>
    <t>Chi phí SXLĐ mốc khoanh vùng BTCT</t>
  </si>
  <si>
    <t xml:space="preserve">Chi phí khoanh vùng cắm mốc quy hoạch </t>
  </si>
  <si>
    <t>Chi phí lập báo cáo KTKT</t>
  </si>
  <si>
    <t>Chi phí thẩm tra dự toán công trình</t>
  </si>
  <si>
    <t>Thẩm định tổng mức đầu tư BCKTKT</t>
  </si>
  <si>
    <t>Chi phí thẩm định kết quả lựa chọn nhà thầu</t>
  </si>
  <si>
    <t>Bảo tồn, tôn tạo Di tích Hang Mường Tỉnh - Xã Xa Dung huyện Điện Biên Đông</t>
  </si>
  <si>
    <t>Xa Xa Dung - H.ĐBĐ</t>
  </si>
  <si>
    <t>Chi phí Khảo sát địa hình đường, điện, nước</t>
  </si>
  <si>
    <t>CP SX mốc quy hoạch BTCT</t>
  </si>
  <si>
    <t>C</t>
  </si>
  <si>
    <t>Vốn Ứng NSĐP 2013</t>
  </si>
  <si>
    <t>Cải tạo, sửa chữa nâng cấp sân vận động tỉnh Điện Biên</t>
  </si>
  <si>
    <t>628/QĐ-SVHTTDL</t>
  </si>
  <si>
    <t>Thiết bị</t>
  </si>
  <si>
    <t>Chi phí lập dự án</t>
  </si>
  <si>
    <t>Chi phí thẩm tra hiệu quả dự án ĐT</t>
  </si>
  <si>
    <t>Thẩm tra dự toán công trình</t>
  </si>
  <si>
    <t>Giám sát thi công xây dựng</t>
  </si>
  <si>
    <t>Chi phí thí nghiệm cọc</t>
  </si>
  <si>
    <t>Chi phí lập HSMT, đánh giá hồ sơ dự thầu mua sắm thiết bị</t>
  </si>
  <si>
    <t>Chi phí giám sát lắp đặt thiết bị</t>
  </si>
  <si>
    <t>Chi phí kiểm định chất lượng giàn không gian</t>
  </si>
  <si>
    <t>chi phí khảo sát lập dự án</t>
  </si>
  <si>
    <t>Chi phí khảo sát lập BVTC</t>
  </si>
  <si>
    <t>Chi phí kiểm định chất lượng công trình</t>
  </si>
  <si>
    <t>Chi phí thẩm định giá thiết bị</t>
  </si>
  <si>
    <t>Lệ phí thẩm định dự án đầu tư</t>
  </si>
  <si>
    <t>Thẩm định đấu thầu thi công xây dựng</t>
  </si>
  <si>
    <t>Nâng cấp, sửa chữa trụ sở làm việc Đoàn Nghệ Thuật</t>
  </si>
  <si>
    <t>Biển giới thiệu quảng bá hình ảnh của tỉnh Điện Biên tại cửa khẩu Tây Trang</t>
  </si>
  <si>
    <t>2011-2012</t>
  </si>
  <si>
    <t>Số 377/QĐ-SVHTTDL ngày 27/5/2011</t>
  </si>
  <si>
    <t>Số 1068/QĐ-SVHTTDL ngày 02/12/2011</t>
  </si>
  <si>
    <t>Bảo tồn tôn tạo di tích Tháp Mường Luân</t>
  </si>
  <si>
    <t xml:space="preserve">XD Kè chống xói lở nền móng tháp, Ép cọc trên diện tích bao quanh móng tháp 59m2,cắm mốc bê tông khoanh vùng di tích...;  </t>
  </si>
  <si>
    <t>2009-2010</t>
  </si>
  <si>
    <t xml:space="preserve">848/QĐ-UB ngày 01/6/2009 của UBND tỉnh Điện Biên </t>
  </si>
  <si>
    <t>Chi phí xây lắp</t>
  </si>
  <si>
    <t>KH vốn giai đoạn 2011-2015</t>
  </si>
  <si>
    <t>KH vốn giai đoạn 2011-2014</t>
  </si>
  <si>
    <t xml:space="preserve">Giải ngân giai đoạn 2011-2015 </t>
  </si>
  <si>
    <t xml:space="preserve"> (Kèm theo báo cáo  số:  ….. /BC-SVHTTDL ngày …. /9/ 2014 của Sở VHTTDL tỉnh Điện Biên)</t>
  </si>
  <si>
    <t>HT 2011</t>
  </si>
  <si>
    <t>HT 2014</t>
  </si>
  <si>
    <t>HT 2012</t>
  </si>
  <si>
    <t>BÁO CÁO TÌNH HÌNH THỰC HIỆN CÁC DỰ ÁN ĐẦU TƯ  GIAI ĐOẠN 2011- 2014</t>
  </si>
  <si>
    <t>Số bản đủ tiêu chuẩn đón khách du lịch quốc tế</t>
  </si>
  <si>
    <t>Bảo tàng tỉnh</t>
  </si>
  <si>
    <t>Bảo tàng chiến thắng</t>
  </si>
  <si>
    <t xml:space="preserve"> 5/100</t>
  </si>
  <si>
    <t xml:space="preserve"> 25/500</t>
  </si>
  <si>
    <t>1.8</t>
  </si>
  <si>
    <t xml:space="preserve"> 2/220</t>
  </si>
  <si>
    <t xml:space="preserve"> 10/1.100</t>
  </si>
  <si>
    <t>1.9</t>
  </si>
  <si>
    <t>1.10</t>
  </si>
  <si>
    <t xml:space="preserve"> 80/2,800</t>
  </si>
  <si>
    <t>370/14520</t>
  </si>
  <si>
    <t>1.11</t>
  </si>
  <si>
    <t>1.12</t>
  </si>
  <si>
    <t>2.9</t>
  </si>
  <si>
    <t>3.8</t>
  </si>
  <si>
    <t>3.9</t>
  </si>
  <si>
    <t>52,2</t>
  </si>
  <si>
    <t>6,9</t>
  </si>
  <si>
    <t>7,8</t>
  </si>
  <si>
    <t>8,6</t>
  </si>
  <si>
    <t>Phường, thị trấn</t>
  </si>
  <si>
    <t>45,3</t>
  </si>
  <si>
    <t>48,4</t>
  </si>
  <si>
    <t>51,5</t>
  </si>
  <si>
    <t>55,4</t>
  </si>
  <si>
    <t>59,2</t>
  </si>
  <si>
    <t>9,6</t>
  </si>
  <si>
    <t>10,07</t>
  </si>
  <si>
    <t>11,8</t>
  </si>
  <si>
    <t>12,2</t>
  </si>
  <si>
    <t>9</t>
  </si>
  <si>
    <t>38,5</t>
  </si>
  <si>
    <t>43,8</t>
  </si>
  <si>
    <t>49,2</t>
  </si>
  <si>
    <t>54,6</t>
  </si>
  <si>
    <t>21,5</t>
  </si>
  <si>
    <t>22,7</t>
  </si>
  <si>
    <t>10</t>
  </si>
  <si>
    <t>Tổ chức triển lãm ảnh bảo tàng</t>
  </si>
  <si>
    <t>Triển lãm</t>
  </si>
  <si>
    <t xml:space="preserve"> Số giải thi đấu TDTT tỉnh có tham gia </t>
  </si>
  <si>
    <t>Trong đó: Số lượt khách quốc tế đến</t>
  </si>
  <si>
    <t>77</t>
  </si>
  <si>
    <t>Khách nội địa</t>
  </si>
  <si>
    <t>Thu nhập xã hội từ hoạt động du lịch</t>
  </si>
  <si>
    <t>Số ngày lưu trú bình quân của khách nội địa</t>
  </si>
  <si>
    <t>2,3</t>
  </si>
  <si>
    <t>2,5</t>
  </si>
  <si>
    <t>2,7</t>
  </si>
  <si>
    <t>2,8</t>
  </si>
  <si>
    <t>2,9</t>
  </si>
  <si>
    <t>Số ngày lưu trú bình quân của khách quốc tế</t>
  </si>
  <si>
    <t>Hoạt động xúc tiến du lịch</t>
  </si>
  <si>
    <t xml:space="preserve">Hỗ trợ, tư vấn thông tin du lịch cho các doanh nghiệp </t>
  </si>
  <si>
    <t>Lượt Đơn vị</t>
  </si>
  <si>
    <t>Lượt Khách</t>
  </si>
  <si>
    <t>Tổ chức các lớp tập huấn cho người lao động trong hoạt động du lịch</t>
  </si>
  <si>
    <t>6.5</t>
  </si>
  <si>
    <t>Tổ chứccuộc thi ảnh đẹp du lịch Điện Biên</t>
  </si>
  <si>
    <t>Hội Thi</t>
  </si>
  <si>
    <t>6.6</t>
  </si>
  <si>
    <t>Tổ chức cuộc thi thiết kế mẫu quà tặng lưu niệm du lịch Điện Biên</t>
  </si>
  <si>
    <t>Cuộc thi</t>
  </si>
  <si>
    <t>6.7</t>
  </si>
  <si>
    <t>Sản xuất phim tài liệu giới thiệu về du lịch Điện Biên</t>
  </si>
  <si>
    <t>Phim</t>
  </si>
  <si>
    <t>6.8</t>
  </si>
  <si>
    <t>Tổ chức hoạt động xúc tiến du lịch tại các tỉnh Bắc Lào, Đông Bắc Thái Lan</t>
  </si>
  <si>
    <t>Hoạt động</t>
  </si>
  <si>
    <t>6.9</t>
  </si>
  <si>
    <t>Tổ chức khảo sát các thị trường du lịch tiềm năng</t>
  </si>
  <si>
    <t>Chuyến</t>
  </si>
  <si>
    <t>6.10</t>
  </si>
  <si>
    <t>Tham gia sự kiện giới thiệu tiềm năng du lịch tại một số TP lớn trong nước</t>
  </si>
  <si>
    <t>Sự kiện</t>
  </si>
  <si>
    <t>Số lễ hội của các dân tộc thiểu số được nghiên cứu, bảo tồn;</t>
  </si>
  <si>
    <t>Lễ</t>
  </si>
  <si>
    <t>Số di sản văn hóa phi vật thể được đưa vào Danh mục DSVH phi vật thể quốc gia</t>
  </si>
  <si>
    <t>Di sản</t>
  </si>
  <si>
    <t>Số sách mới bổ sung</t>
  </si>
  <si>
    <t>Trong đó: Thư viện tỉnh</t>
  </si>
  <si>
    <t xml:space="preserve">Nhà  </t>
  </si>
  <si>
    <t>4.7</t>
  </si>
  <si>
    <t>4.8</t>
  </si>
  <si>
    <t>4.9</t>
  </si>
  <si>
    <t>4.10</t>
  </si>
  <si>
    <t>4.11</t>
  </si>
  <si>
    <t>4.12</t>
  </si>
  <si>
    <t>4.13</t>
  </si>
  <si>
    <t>5.1</t>
  </si>
  <si>
    <t>5.2</t>
  </si>
  <si>
    <t>5.3</t>
  </si>
  <si>
    <t>5.4</t>
  </si>
  <si>
    <t>5.5</t>
  </si>
  <si>
    <t>6.11</t>
  </si>
  <si>
    <t>7.3</t>
  </si>
  <si>
    <t>7.4</t>
  </si>
  <si>
    <t>7.5</t>
  </si>
  <si>
    <t>7.6</t>
  </si>
  <si>
    <t>7.7</t>
  </si>
  <si>
    <t>7.8</t>
  </si>
  <si>
    <t>7.9</t>
  </si>
  <si>
    <t>7.10</t>
  </si>
  <si>
    <t>7.11</t>
  </si>
  <si>
    <t>7.12</t>
  </si>
  <si>
    <t>10.1</t>
  </si>
  <si>
    <t>10.2</t>
  </si>
  <si>
    <t>10.3</t>
  </si>
  <si>
    <t>10.4</t>
  </si>
  <si>
    <t>10.5</t>
  </si>
  <si>
    <t>10.6</t>
  </si>
  <si>
    <t>10.7</t>
  </si>
  <si>
    <t>10.8</t>
  </si>
  <si>
    <r>
      <t>Tổ chức các lớp đào tạo, tập huấn nâng cao trình độ tổ chức các hoạt động Marketing, xúc tiến du lịch cho cán bộ quản lý nhà nước từ tỉnh đến các huyện, thị xã, thành phố (</t>
    </r>
    <r>
      <rPr>
        <i/>
        <sz val="12"/>
        <rFont val="Times New Roman"/>
        <family val="1"/>
      </rPr>
      <t>mỗi năm 01 lớp</t>
    </r>
    <r>
      <rPr>
        <sz val="12"/>
        <rFont val="Times New Roman"/>
        <family val="1"/>
      </rPr>
      <t>)</t>
    </r>
  </si>
  <si>
    <t>  Hỗ trợ, tư vấn thông tin du lịch cho khách.</t>
  </si>
  <si>
    <t>(Kèm theo văn bản số: 1341 /BC-SVHTTDL ngày 09 tháng  11 năm 2015 của Sở Văn hóa, Thể theo và Du lịch tỉnh Điện Biên)</t>
  </si>
  <si>
    <t xml:space="preserve">Số vận động viên đượcđào tạo tập trung </t>
  </si>
  <si>
    <t>Ch.trình</t>
  </si>
  <si>
    <t>TT</t>
  </si>
  <si>
    <t>DANH MỤC/ 
NỘI DUNG ĐỀ ÁN ĐẦU TƯ</t>
  </si>
  <si>
    <t>QUY MÔ</t>
  </si>
  <si>
    <t>Tổng cộng</t>
  </si>
  <si>
    <t>GIAI ĐOẠN 2016-2020</t>
  </si>
  <si>
    <t>Hoạt động bảo tồn, tôn tạo di tích</t>
  </si>
  <si>
    <t>Dự án Bảo tồn, tôn tạo di tích Khu trung tâm đề kháng Him Lam</t>
  </si>
  <si>
    <t>Công trình Bảo tàng chiến thắng Điện Biên Phủ giai đoạn II</t>
  </si>
  <si>
    <t>Dự án khởi công mới</t>
  </si>
  <si>
    <t>Dự án Bảo tồn, tôn tạo di tích Trung tâm tập đoàn cứ điểm Điện Biên Phủ giai đoạn II</t>
  </si>
  <si>
    <t xml:space="preserve">Công trình Trận địa bao vây tấn công của Bộ đội ta </t>
  </si>
  <si>
    <t>Hoạt động phát huy giá trị di tích</t>
  </si>
  <si>
    <t>Đầu tư xây dựng khu lưu niệm Đại tướng Võ Nguyên Giáp tại Mường Phăng</t>
  </si>
  <si>
    <t>Đầu tư xây dựng Cụm công trìnhTượng đài Thanh niên xung phong Điện Biên Phủ tại Đèo Pha Đin- huyện tuần giáo</t>
  </si>
  <si>
    <t>Xây dựng điểm dừng chân trên một số tuyến quốc lộ</t>
  </si>
  <si>
    <t>Triển khai dự án phát triển cơ sở hạ tầng du lịch hỗ trợ cho tăng trưởng toàn diện tại tỉnh Điện Biên</t>
  </si>
  <si>
    <t>Hoạt động tuyên truyền quảng bá, xúc tiến du lịch</t>
  </si>
  <si>
    <t>Phụ biểu số 03</t>
  </si>
  <si>
    <t>Khảo sát, lập hồ sơ khoa học</t>
  </si>
  <si>
    <t xml:space="preserve">Cộng 2021-2025 </t>
  </si>
  <si>
    <t>Cộng 2016-2020</t>
  </si>
  <si>
    <t>Cắm biển chỉ dẫn đến các điểm di tích, các công trình văn hóa trên địa bàn tỉnh</t>
  </si>
  <si>
    <t>190 biển</t>
  </si>
  <si>
    <t>Đào tạo, bồi dưỡng nguồn nhân lực</t>
  </si>
  <si>
    <t>Xây dựng khu ghi danh các anh hùng liệt sĩ hy sinh trên chiến trường Điện Biên Phủ</t>
  </si>
  <si>
    <t>Công trình khôi phục bản Thái cổ (Noong nhai )</t>
  </si>
  <si>
    <t>Sơ đồ Di tích Chiến thắng Điện Biên Phủ tại một số điểm di tích;</t>
  </si>
  <si>
    <t>45 điểm</t>
  </si>
  <si>
    <t>Khoanh vùng cắm mốc các điểm di tích (Cắm mới và bổ sung tăng dày mốc)</t>
  </si>
  <si>
    <t>1 tỷ/ điểm</t>
  </si>
  <si>
    <t>Kinh phí sưu tầm, bảo quản và lưu giữ hiện vật</t>
  </si>
  <si>
    <t xml:space="preserve">  </t>
  </si>
  <si>
    <t>Trung tâm giao lưu văn hóa và thông tin du lịch Điện Biên Phủ (Tổng mức đầu tư 1,411 triệu USD, tương đương 31 tỷ đồng, trong đó: đối ứng của địa phương 0,2 triệu USD)</t>
  </si>
  <si>
    <t>Đường cấp 6 miền núi dài 21,5Km</t>
  </si>
  <si>
    <t xml:space="preserve">Nâng cấp đường vào di tích sở chỉ huy chiến dịch Điện Biên Phủ ở Mường Phăng. Tổng vốn ĐT 154 tỷ đồng, tương đương 7 triệu USD) </t>
  </si>
  <si>
    <t>Các hoạt động phần mềm (Nâng cao năng lực thể chế+chi phí quản lý DA)</t>
  </si>
  <si>
    <t>2.5</t>
  </si>
  <si>
    <t>2.6</t>
  </si>
  <si>
    <t>2.7</t>
  </si>
  <si>
    <t>2.8</t>
  </si>
  <si>
    <t>Lập HS 22 điểm và khảo sát lập HS một số điểm mới</t>
  </si>
  <si>
    <t>Xây dựng một số công trình phụ trợ nhằm điều chỉnh tuyến tham quan tại một số điểm di tích</t>
  </si>
  <si>
    <t>Bãi đỗ xe; mở tuyến giao thông</t>
  </si>
  <si>
    <t>Tiếp tục đầu tư bảo tồn giai đoạn II đối với Di tích Đồi A1</t>
  </si>
  <si>
    <t>Đầu tư bảo tồn giai đoạn II đối với Khu trung tâm đề kháng Him Lam</t>
  </si>
  <si>
    <t>2.10</t>
  </si>
  <si>
    <t xml:space="preserve">  42 điểm</t>
  </si>
  <si>
    <t xml:space="preserve">Xây dựng bia tại một số điểm di tích </t>
  </si>
  <si>
    <t>100 tr/Bia</t>
  </si>
  <si>
    <t>Khó thực hiện do nằmxung quanh khu vực bay</t>
  </si>
  <si>
    <t>Không nằm trong quần thể di tích được xếp hạng</t>
  </si>
  <si>
    <t>2 điểm</t>
  </si>
  <si>
    <t>HĐ thường xuyên</t>
  </si>
  <si>
    <t>Vốn vay ADB+NSĐP</t>
  </si>
  <si>
    <t>GIAI ĐOẠN 2021-2025</t>
  </si>
  <si>
    <t>2 khu tại Him Lam và Đồi A1</t>
  </si>
  <si>
    <t>Phụ biểu số 04</t>
  </si>
  <si>
    <t>Hỗ trợ có mục tiêu từ ngân sách TW</t>
  </si>
  <si>
    <t>Vốn ngân sách địa phương</t>
  </si>
  <si>
    <t>Vốn vay ADB</t>
  </si>
  <si>
    <t>Huy động từ xã hội</t>
  </si>
  <si>
    <t>Trung tâm giao lưu văn hóa và thông tin du lịch Điện Biên Phủ (Tổng mức đầu tư 1,411 triệu USD, tương đương 29,698 tỷ đồng, trong đó: đối ứng của địa phương 0,2 triệu USD)</t>
  </si>
  <si>
    <t xml:space="preserve">Nâng cấp đường vào di tích sở chỉ huy chiến dịch Điện Biên Phủ ở Mường Phăng. Tổng vốn ĐT 147,3 tỷ đồng, tương đương 7 triệu USD) </t>
  </si>
  <si>
    <t>Ap dung 1USD=
21.036 VNĐ</t>
  </si>
  <si>
    <t>Đầu tư bảo tồn giai đoạn II đối với Khu trung tâm đề kháng Him Lam (cứ điểm3)</t>
  </si>
  <si>
    <t>Dự án Bảo tồn, tôn tạo di tích Khu trung tâm đề kháng Him Lam (cứ điểm 1 và 2)</t>
  </si>
  <si>
    <t>Đầu tư bổ sung một số hạng mục tại Đồi E</t>
  </si>
  <si>
    <t>ĐVT: Triệu đồng</t>
  </si>
  <si>
    <t>GHI CHÚ</t>
  </si>
  <si>
    <t>Giai đoạn 2026- 2030</t>
  </si>
  <si>
    <t>35 điểm</t>
  </si>
  <si>
    <t>10 tỷ/điểm</t>
  </si>
  <si>
    <t>Tổng cộng nhu cầu nguồn kinh phí đến 2030</t>
  </si>
  <si>
    <t>Tổng mức đầu tư được duyệt hoặc dự kiến đầu tư</t>
  </si>
  <si>
    <t>Đã được cấp vốn đến 31/12/2015</t>
  </si>
  <si>
    <t xml:space="preserve">Đầu tư nâng cấp khu vực Mường Phăng trở thành phân khu du lịch sinh thái, lịch sử - văn hóa và môi trường </t>
  </si>
  <si>
    <t>1 điểm</t>
  </si>
  <si>
    <t>13</t>
  </si>
  <si>
    <t>Xây dựng Điểm dừng chân phía Đông Nam Cầu Mường Thanh tạo sự kết nối tuyến tham quan Đồi A1- Cầu Mường Thanh - Hầm Đờ Catsxtori</t>
  </si>
  <si>
    <t xml:space="preserve">Tượng đài Chủ tịch Hồ Chí Minh và Đại tướng Võ Nguyên Giáp tại Thành phố Điện Biên Phủ </t>
  </si>
  <si>
    <t>Đầu tư bảo tồn , tôn tạo các điểm di tích khác còn lại</t>
  </si>
  <si>
    <t>Thanh toán nợ khối lượng</t>
  </si>
  <si>
    <t>Triển khai hoàn thành bức tranh Panoma và mở rộng không gian Bảo tàng chiến thắng Điện Biên Phủ</t>
  </si>
  <si>
    <t>12.1</t>
  </si>
  <si>
    <t>12.2</t>
  </si>
  <si>
    <t>12.3</t>
  </si>
  <si>
    <t>14</t>
  </si>
  <si>
    <t>15</t>
  </si>
  <si>
    <t>2 Cụm</t>
  </si>
  <si>
    <t>16</t>
  </si>
  <si>
    <t>Duy trì tổ chức lễ hội hoa ban hằng năm</t>
  </si>
  <si>
    <t>(Kèm theo Dự thảo Đề án bảo tồn và phát huy giá trị Di tích lịch sử Quốc gia đặc biệt Chiến trường  
Điện Biên Phủ gắn với phát triển du lịch tỉnh Điện Biên đến năm 2025, định hướng đến năm 2030)</t>
  </si>
  <si>
    <t xml:space="preserve">PHÂN KỲ ĐẦU TƯ VÀ NHU CẦU KINH PHÍ </t>
  </si>
  <si>
    <t xml:space="preserve">TỔNG HỢP NGUỒN KINH PHÍ </t>
  </si>
  <si>
    <t>(Kèm theo ……...)</t>
  </si>
  <si>
    <t xml:space="preserve">Hoạt động bảo tồn di tích </t>
  </si>
  <si>
    <t>Hạ tầng khu du lịch Him Lam giai đoạn II</t>
  </si>
  <si>
    <t>Đường Noong Luống - Pa Thơm</t>
  </si>
  <si>
    <t>NS: 7808</t>
  </si>
  <si>
    <t>Nâng cấp đường vào điểm du lịch tâm linh Linh Sơn, xã Thanh Luông, huyện Điện Biên</t>
  </si>
  <si>
    <t>Hỗ trợ xây dựng trạm dừng nghỉ trên quốc lộ 6 tại km 364+850</t>
  </si>
  <si>
    <t>Vốn đền bù</t>
  </si>
  <si>
    <t>Xây dựng bến cảng Đồi Cao - Mường Lay</t>
  </si>
  <si>
    <t>Vốn TĐCTĐSL</t>
  </si>
  <si>
    <t>Bảo tồn các di tích cấp quốc gia, cấp tỉnh</t>
  </si>
  <si>
    <t>Các dự án chuyển tiếp</t>
  </si>
  <si>
    <t>Các dự án đầu tư mới</t>
  </si>
  <si>
    <t>Xây dựng Quy hoạch Khu du lịch sinh thái Đèo Pha Đin</t>
  </si>
  <si>
    <t>Xây dựng  Quy hoạch Khu du lịch lòng hồ và tuyến du lịch trên sông nước ở thị xã Mường Lay;</t>
  </si>
  <si>
    <t>Xây dựng Quy hoạch Khu du lịch sinh thái Khu bảo tồn thiên nhiên Mường Nhé</t>
  </si>
  <si>
    <t>Xây dựng Quy hoạch các điểm du lịch hang động trên địa bàn huyện Tủa Chùa;</t>
  </si>
  <si>
    <t>Đầu tư xây dựng cơ sở hạ tầng, cơ sở vật chất kỹ thuật phục vụ du lịch</t>
  </si>
  <si>
    <t>1</t>
  </si>
  <si>
    <t>4 di tích: Tháp Chiềng Sơ; Động Pa Thơm; Hang Mường Tỉnh;Thành Sam Mứn</t>
  </si>
  <si>
    <t xml:space="preserve">Đầu tư các hạng mục trong quần thể Di tích chiến trường Điện Biên Phủ </t>
  </si>
  <si>
    <t>D</t>
  </si>
  <si>
    <t>Đào tạo phát triển nguồn nhân lực</t>
  </si>
  <si>
    <t>E</t>
  </si>
  <si>
    <t>Tuyên truyền quảng bá, xúc tiến du lịch</t>
  </si>
  <si>
    <t>Tổ chức các hoạt động giao lưu văn hóa, thể thao với các nước ASEAN, Trung Quốc</t>
  </si>
  <si>
    <t>Bảo tồn di tích lịch sử Quốc gia đặc biệt Chiến trường Điện Biên Phủ</t>
  </si>
  <si>
    <t>10 di tích</t>
  </si>
  <si>
    <t>NSTW</t>
  </si>
  <si>
    <t>NSĐP</t>
  </si>
  <si>
    <t>Trong đó</t>
  </si>
  <si>
    <t>Hạ tầng giao thông các điểm du lịch lân cận</t>
  </si>
  <si>
    <t>Xây dựng Quy hoạch tổng thể phát triển du lịch tỉnh giai đoạn đến 2025, tấm nhìn đến năm 2030</t>
  </si>
  <si>
    <t>Quy hoạch phân khu chức năng, Quy hoạch chi tiết Khu du lịch Điện Biên Phủ - Pá Khoang</t>
  </si>
  <si>
    <t>Đầu tư một số công trình hạ tầng du lịch</t>
  </si>
  <si>
    <t>Các dự án bảo tồn mới</t>
  </si>
  <si>
    <t>Ngoài ngân sách</t>
  </si>
  <si>
    <t>Xây dựng Điểm dừng chân phía Đông Nam Cầu Mường Thanh tạo sự kết nối tuyến tham quan Đồi A1- Cầu Mường Thanh - Hầm Đờ Cát</t>
  </si>
  <si>
    <t>Hoạt động thường xuyên</t>
  </si>
  <si>
    <t xml:space="preserve">Tượng đài Chủ tịch Hồ Chí Minh và Đại tướng Võ Nguyên Giáp tại thành phố Điện Biên Phủ </t>
  </si>
  <si>
    <t>DANH MỤC/ 
NỘI DUNG DỰ ÁN ĐẦU TƯ</t>
  </si>
  <si>
    <t>Đầu tư bảo tồn giai đoạn II đối với Khu trung tâm đề kháng Him Lam (cứ điểm 3)</t>
  </si>
  <si>
    <t xml:space="preserve">Tiếp tục đầu tư bảo tồn Di tích Đồi A1 giai đoạn II </t>
  </si>
  <si>
    <t>Công trình khôi phục Bản Thái cổ (Noong nhai )</t>
  </si>
  <si>
    <t>Đường vào khu du lịch, tưởng niệm tri ân những người có công với đất nước, với dân tộc tỉnh Điện Biên</t>
  </si>
  <si>
    <t>Đường cấp 6 miền núi dài 21,5 km</t>
  </si>
  <si>
    <t>Đầu tư xây dựng Cụm công trình Tượng đài Thanh niên xung phong Điện Biên Phủ tại Đèo Pha Đin - huyện Tuần Giáo</t>
  </si>
  <si>
    <t>cấp tỉnh, cấp huyện</t>
  </si>
  <si>
    <t>Lắp đặt Biển chỉ dẫn đến các điểm di tích, các công trình văn hóa trên địa bàn tỉnh</t>
  </si>
  <si>
    <t>Vốn vay ADB + NSĐP</t>
  </si>
  <si>
    <t>Phụ lục số 02</t>
  </si>
  <si>
    <t xml:space="preserve">Đường vào quần thể hang động và bảo tồn tôn tạo di tích lịch sử hang động Xá Nhè + Xá Nhè 2, huyện Tủa Chùa </t>
  </si>
  <si>
    <t>Duy trì tổ chức các lễ hội tiêu biểu (Lễ hội hoa ban; Lễ hội đua thuyền đuôi én; Lễ hội Thành Bản Phủ) và Giải Chinh phục Ngã ba biên giới A Pa Chải</t>
  </si>
  <si>
    <t>Đầu tư Biển quảng bá tấm lớn</t>
  </si>
  <si>
    <t>Hạ tầng Khu du lịch Điện Biên Phủ - Pá Khoang (theo Quyết định số 1465/QĐ-TTg ngày 24/8/2015 của Thủ tướng Chính phủ)</t>
  </si>
  <si>
    <t>Nâng cấp đường từ thành phố Điện Biên Phủ đến di tích Sở chỉ huy chiến dịch Điện Biên Phủ tại Mường Phăng</t>
  </si>
  <si>
    <t>Đầu tư phát triển sản phẩm du lịch tại các Bản du lịch cộng đồng</t>
  </si>
  <si>
    <t>20 Bản</t>
  </si>
  <si>
    <t xml:space="preserve">Xây dựng và triển khai thực hiện quy hoạch tổng thể và các quy hoạch chi tiết phát triển du lịch </t>
  </si>
  <si>
    <t>V</t>
  </si>
  <si>
    <t>Đầu tư xây dựng các điểm dừng chân trên các tuyến du lịch, các nhà vệ sinh đạt chuẩn tại các khu, điểm du lịch trên địa bàn</t>
  </si>
  <si>
    <t>Các điểm dừng chân</t>
  </si>
  <si>
    <t>06 điểm</t>
  </si>
  <si>
    <t>Xây dựng các Nhà vệ đạt chuẩn tại các khu, điểm du lịch</t>
  </si>
  <si>
    <t>50 điểm</t>
  </si>
  <si>
    <t>3 Biển</t>
  </si>
  <si>
    <t>TỔNG NHU CẦU ĐẦU TƯ VÀ PHÂN KỲ ĐẦU TƯ ĐẾN 2030</t>
  </si>
  <si>
    <t>Phát triển sản phẩm du lịch</t>
  </si>
  <si>
    <t>Tổng</t>
  </si>
  <si>
    <t>Giai đoạn 2020-2025</t>
  </si>
  <si>
    <t>Giai đoạn 2026-2030</t>
  </si>
  <si>
    <t>Đầu tư xây dựng mới và nâng cấp cơ sở lưu trú du lịch</t>
  </si>
  <si>
    <t>5.200 buồng</t>
  </si>
  <si>
    <t xml:space="preserve">Chỉnh trang, nâng cấp cơ sở lưu trú </t>
  </si>
  <si>
    <t>Đầu tư xây dựng mới (giai đoạn 2016 - 2020 xây dựng mới 1.200 buồng; giai đoạn 2021-2025 xây dựng mới 2.000 buồng; giai đoạn 2026-2030 xây dựng mới 2.000 buồng)</t>
  </si>
  <si>
    <t>(Kèm theo Tờ trình số:    /TTr-UBND ngày    tháng 10 năm 2016 của UBND tỉnh)</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</si>
</sst>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0.0"/>
    <numFmt numFmtId="189" formatCode="_(* #,##0.0_);_(* \(#,##0.0\);_(* &quot;-&quot;??_);_(@_)"/>
    <numFmt numFmtId="190" formatCode="0.0"/>
    <numFmt numFmtId="191" formatCode="_(* #,##0_);_(* \(#,##0\);_(* &quot;-&quot;??_);_(@_)"/>
    <numFmt numFmtId="192" formatCode="0.0000"/>
    <numFmt numFmtId="193" formatCode="0.000"/>
    <numFmt numFmtId="194" formatCode="_(* #,##0.0_);_(* \(#,##0.0\);_(* &quot;-&quot;?_);_(@_)"/>
    <numFmt numFmtId="195" formatCode="_(* #,##0_);_(* \(#,##0\);_(* &quot;-&quot;?_);_(@_)"/>
    <numFmt numFmtId="196" formatCode="[$-410]dddd\ d\ mmmm\ yyyy"/>
    <numFmt numFmtId="197" formatCode="h\.mm\.ss"/>
    <numFmt numFmtId="198" formatCode="_-* #,##0.0_-;\-* #,##0.0_-;_-* &quot;-&quot;?_-;_-@_-"/>
    <numFmt numFmtId="199" formatCode="0.0%"/>
    <numFmt numFmtId="200" formatCode="0.000000"/>
    <numFmt numFmtId="201" formatCode="0.00000"/>
    <numFmt numFmtId="202" formatCode="#,##0.000"/>
    <numFmt numFmtId="203" formatCode="_(* #,##0.000_);_(* \(#,##0.000\);_(* &quot;-&quot;??_);_(@_)"/>
    <numFmt numFmtId="204" formatCode="_-* #,##0.0\ _₫_-;\-* #,##0.0\ _₫_-;_-* &quot;-&quot;\ _₫_-;_-@_-"/>
    <numFmt numFmtId="205" formatCode="_-* #,##0.00\ _₫_-;\-* #,##0.00\ _₫_-;_-* &quot;-&quot;\ _₫_-;_-@_-"/>
    <numFmt numFmtId="206" formatCode="_(* #,##0.000000_);_(* \(#,##0.000000\);_(* &quot;-&quot;??_);_(@_)"/>
    <numFmt numFmtId="207" formatCode="_-* #,##0.000\ _₫_-;\-* #,##0.000\ _₫_-;_-* &quot;-&quot;\ _₫_-;_-@_-"/>
    <numFmt numFmtId="208" formatCode="#,##0.00000"/>
    <numFmt numFmtId="209" formatCode="#,##0.0000"/>
    <numFmt numFmtId="210" formatCode="_(* #,##0.0000_);_(* \(#,##0.0000\);_(* &quot;-&quot;??_);_(@_)"/>
    <numFmt numFmtId="211" formatCode="_-* #,##0.000_-;\-* #,##0.000_-;_-* &quot;-&quot;???_-;_-@_-"/>
    <numFmt numFmtId="212" formatCode="_-* #,##0.00\ _F_B_-;\-* #,##0.00\ _F_B_-;_-* &quot;-&quot;??\ _F_B_-;_-@_-"/>
    <numFmt numFmtId="213" formatCode="&quot;Yes&quot;;&quot;Yes&quot;;&quot;No&quot;"/>
    <numFmt numFmtId="214" formatCode="&quot;True&quot;;&quot;True&quot;;&quot;False&quot;"/>
    <numFmt numFmtId="215" formatCode="&quot;On&quot;;&quot;On&quot;;&quot;Off&quot;"/>
    <numFmt numFmtId="216" formatCode="[$€-2]\ #,##0.00_);[Red]\([$€-2]\ #,##0.00\)"/>
  </numFmts>
  <fonts count="117">
    <font>
      <sz val="10"/>
      <name val="Arial"/>
      <family val="0"/>
    </font>
    <font>
      <sz val="12"/>
      <name val="Times New Roman"/>
      <family val="1"/>
    </font>
    <font>
      <sz val="13"/>
      <name val="Times New Roman"/>
      <family val="1"/>
    </font>
    <font>
      <b/>
      <sz val="12"/>
      <name val="Times New Roman"/>
      <family val="1"/>
    </font>
    <font>
      <i/>
      <sz val="13"/>
      <name val="Times New Roman"/>
      <family val="1"/>
    </font>
    <font>
      <i/>
      <sz val="12"/>
      <name val="Times New Roman"/>
      <family val="1"/>
    </font>
    <font>
      <i/>
      <sz val="14"/>
      <name val="Times New Roman"/>
      <family val="1"/>
    </font>
    <font>
      <sz val="10"/>
      <name val="Times New Roman"/>
      <family val="1"/>
    </font>
    <font>
      <b/>
      <i/>
      <sz val="12"/>
      <name val="Times New Roman"/>
      <family val="1"/>
    </font>
    <font>
      <b/>
      <i/>
      <sz val="12"/>
      <name val=".VnTime"/>
      <family val="2"/>
    </font>
    <font>
      <sz val="12"/>
      <name val=".VnTime"/>
      <family val="2"/>
    </font>
    <font>
      <b/>
      <sz val="12"/>
      <name val=".VnTime"/>
      <family val="2"/>
    </font>
    <font>
      <b/>
      <sz val="14"/>
      <name val="Times New Roman"/>
      <family val="1"/>
    </font>
    <font>
      <i/>
      <sz val="10"/>
      <name val="Times New Roman"/>
      <family val="1"/>
    </font>
    <font>
      <b/>
      <sz val="10"/>
      <name val="Times New Roman"/>
      <family val="1"/>
    </font>
    <font>
      <sz val="11"/>
      <name val="Times New Roman"/>
      <family val="1"/>
    </font>
    <font>
      <sz val="10"/>
      <color indexed="10"/>
      <name val="Times New Roman"/>
      <family val="1"/>
    </font>
    <font>
      <sz val="8"/>
      <name val="Times New Roman"/>
      <family val="1"/>
    </font>
    <font>
      <sz val="8"/>
      <color indexed="8"/>
      <name val="Times New Roman"/>
      <family val="1"/>
    </font>
    <font>
      <b/>
      <sz val="8"/>
      <name val="Times New Roman"/>
      <family val="1"/>
    </font>
    <font>
      <b/>
      <sz val="8"/>
      <color indexed="8"/>
      <name val="Times New Roman"/>
      <family val="1"/>
    </font>
    <font>
      <sz val="8"/>
      <color indexed="10"/>
      <name val="Times New Roman"/>
      <family val="1"/>
    </font>
    <font>
      <b/>
      <i/>
      <sz val="8"/>
      <name val="Times New Roman"/>
      <family val="1"/>
    </font>
    <font>
      <b/>
      <sz val="12"/>
      <color indexed="10"/>
      <name val="Times New Roman"/>
      <family val="1"/>
    </font>
    <font>
      <sz val="12"/>
      <color indexed="8"/>
      <name val="Times New Roman"/>
      <family val="1"/>
    </font>
    <font>
      <sz val="12"/>
      <color indexed="36"/>
      <name val="Times New Roman"/>
      <family val="1"/>
    </font>
    <font>
      <sz val="12"/>
      <color indexed="10"/>
      <name val="Times New Roman"/>
      <family val="1"/>
    </font>
    <font>
      <b/>
      <i/>
      <sz val="12"/>
      <color indexed="10"/>
      <name val="Times New Roman"/>
      <family val="1"/>
    </font>
    <font>
      <sz val="12"/>
      <color indexed="30"/>
      <name val="Times New Roman"/>
      <family val="1"/>
    </font>
    <font>
      <sz val="12"/>
      <color indexed="17"/>
      <name val="Times New Roman"/>
      <family val="1"/>
    </font>
    <font>
      <i/>
      <sz val="10"/>
      <color indexed="10"/>
      <name val="Times New Roman"/>
      <family val="1"/>
    </font>
    <font>
      <sz val="10"/>
      <color indexed="8"/>
      <name val="Times New Roman"/>
      <family val="1"/>
    </font>
    <font>
      <sz val="11"/>
      <color indexed="10"/>
      <name val="Times New Roman"/>
      <family val="1"/>
    </font>
    <font>
      <b/>
      <sz val="8"/>
      <color indexed="10"/>
      <name val="Times New Roman"/>
      <family val="1"/>
    </font>
    <font>
      <i/>
      <sz val="12"/>
      <color indexed="10"/>
      <name val="Times New Roman"/>
      <family val="1"/>
    </font>
    <font>
      <b/>
      <sz val="11"/>
      <name val="Times New Roman"/>
      <family val="1"/>
    </font>
    <font>
      <sz val="14"/>
      <name val="Times New Roman"/>
      <family val="1"/>
    </font>
    <font>
      <b/>
      <sz val="12"/>
      <color indexed="56"/>
      <name val="Times New Roman"/>
      <family val="1"/>
    </font>
    <font>
      <b/>
      <sz val="12"/>
      <color indexed="17"/>
      <name val="Times New Roman"/>
      <family val="1"/>
    </font>
    <font>
      <sz val="12"/>
      <color indexed="56"/>
      <name val="Times New Roman"/>
      <family val="1"/>
    </font>
    <font>
      <i/>
      <sz val="12"/>
      <color indexed="56"/>
      <name val="Times New Roman"/>
      <family val="1"/>
    </font>
    <font>
      <i/>
      <sz val="12"/>
      <color indexed="17"/>
      <name val="Times New Roman"/>
      <family val="1"/>
    </font>
    <font>
      <sz val="10"/>
      <color indexed="56"/>
      <name val="Times New Roman"/>
      <family val="1"/>
    </font>
    <font>
      <b/>
      <u val="single"/>
      <sz val="12"/>
      <name val="Times New Roman"/>
      <family val="1"/>
    </font>
    <font>
      <sz val="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i/>
      <sz val="12"/>
      <color indexed="8"/>
      <name val="Times New Roman"/>
      <family val="1"/>
    </font>
    <font>
      <b/>
      <sz val="11"/>
      <color indexed="8"/>
      <name val="Times New Roman"/>
      <family val="1"/>
    </font>
    <font>
      <i/>
      <sz val="8"/>
      <color indexed="8"/>
      <name val="Times New Roman"/>
      <family val="1"/>
    </font>
    <font>
      <sz val="11"/>
      <color indexed="8"/>
      <name val="Times New Roman"/>
      <family val="1"/>
    </font>
    <font>
      <sz val="14"/>
      <color indexed="8"/>
      <name val="Times New Roman"/>
      <family val="1"/>
    </font>
    <font>
      <b/>
      <sz val="14"/>
      <color indexed="8"/>
      <name val="Times New Roman"/>
      <family val="1"/>
    </font>
    <font>
      <b/>
      <sz val="10"/>
      <color indexed="8"/>
      <name val="Times New Roman"/>
      <family val="1"/>
    </font>
    <font>
      <sz val="8"/>
      <color indexed="17"/>
      <name val="Times New Roman"/>
      <family val="1"/>
    </font>
    <font>
      <b/>
      <sz val="10"/>
      <color indexed="10"/>
      <name val="Times New Roman"/>
      <family val="1"/>
    </font>
    <font>
      <sz val="10"/>
      <color indexed="17"/>
      <name val="Times New Roman"/>
      <family val="1"/>
    </font>
    <font>
      <b/>
      <sz val="10"/>
      <color indexed="17"/>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2"/>
      <color theme="1"/>
      <name val="Times New Roman"/>
      <family val="1"/>
    </font>
    <font>
      <i/>
      <sz val="12"/>
      <color theme="1"/>
      <name val="Times New Roman"/>
      <family val="1"/>
    </font>
    <font>
      <b/>
      <sz val="11"/>
      <color theme="1"/>
      <name val="Times New Roman"/>
      <family val="1"/>
    </font>
    <font>
      <b/>
      <sz val="8"/>
      <color theme="1"/>
      <name val="Times New Roman"/>
      <family val="1"/>
    </font>
    <font>
      <sz val="8"/>
      <color theme="1"/>
      <name val="Times New Roman"/>
      <family val="1"/>
    </font>
    <font>
      <i/>
      <sz val="8"/>
      <color theme="1"/>
      <name val="Times New Roman"/>
      <family val="1"/>
    </font>
    <font>
      <sz val="11"/>
      <color theme="1"/>
      <name val="Times New Roman"/>
      <family val="1"/>
    </font>
    <font>
      <sz val="14"/>
      <color theme="1"/>
      <name val="Times New Roman"/>
      <family val="1"/>
    </font>
    <font>
      <b/>
      <sz val="14"/>
      <color theme="1"/>
      <name val="Times New Roman"/>
      <family val="1"/>
    </font>
    <font>
      <b/>
      <sz val="10"/>
      <color theme="1"/>
      <name val="Times New Roman"/>
      <family val="1"/>
    </font>
    <font>
      <sz val="8"/>
      <color rgb="FF00B050"/>
      <name val="Times New Roman"/>
      <family val="1"/>
    </font>
    <font>
      <sz val="12"/>
      <color rgb="FF00B050"/>
      <name val="Times New Roman"/>
      <family val="1"/>
    </font>
    <font>
      <b/>
      <sz val="12"/>
      <color rgb="FF00B050"/>
      <name val="Times New Roman"/>
      <family val="1"/>
    </font>
    <font>
      <sz val="10"/>
      <color rgb="FFFF0000"/>
      <name val="Times New Roman"/>
      <family val="1"/>
    </font>
    <font>
      <b/>
      <sz val="10"/>
      <color rgb="FFFF0000"/>
      <name val="Times New Roman"/>
      <family val="1"/>
    </font>
    <font>
      <sz val="10"/>
      <color theme="1"/>
      <name val="Times New Roman"/>
      <family val="1"/>
    </font>
    <font>
      <sz val="10"/>
      <color rgb="FF00B050"/>
      <name val="Times New Roman"/>
      <family val="1"/>
    </font>
    <font>
      <b/>
      <sz val="10"/>
      <color rgb="FF00B050"/>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style="thin"/>
      <right>
        <color indexed="63"/>
      </right>
      <top>
        <color indexed="63"/>
      </top>
      <bottom>
        <color indexed="63"/>
      </bottom>
    </border>
    <border>
      <left style="thin"/>
      <right style="thin"/>
      <top style="hair"/>
      <bottom>
        <color indexed="63"/>
      </bottom>
    </border>
    <border>
      <left style="thin"/>
      <right style="thin"/>
      <top>
        <color indexed="63"/>
      </top>
      <bottom style="hair"/>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886">
    <xf numFmtId="0" fontId="0" fillId="0" borderId="0" xfId="0" applyAlignment="1">
      <alignment/>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left" vertical="center"/>
    </xf>
    <xf numFmtId="4" fontId="5" fillId="0" borderId="0" xfId="0" applyNumberFormat="1" applyFont="1" applyFill="1" applyAlignment="1">
      <alignment horizontal="right" vertical="center"/>
    </xf>
    <xf numFmtId="4" fontId="5" fillId="0" borderId="0" xfId="0" applyNumberFormat="1" applyFont="1" applyFill="1" applyAlignment="1">
      <alignment vertical="center"/>
    </xf>
    <xf numFmtId="4" fontId="5" fillId="0" borderId="0" xfId="0" applyNumberFormat="1" applyFont="1" applyFill="1" applyAlignment="1">
      <alignment horizontal="left" vertical="center"/>
    </xf>
    <xf numFmtId="0" fontId="1" fillId="0" borderId="0" xfId="0" applyFont="1" applyFill="1" applyAlignment="1">
      <alignment horizontal="center" vertical="center"/>
    </xf>
    <xf numFmtId="0" fontId="4" fillId="0" borderId="10" xfId="0" applyFont="1" applyFill="1" applyBorder="1" applyAlignment="1">
      <alignment horizontal="right"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vertical="center"/>
    </xf>
    <xf numFmtId="188" fontId="3" fillId="0" borderId="14" xfId="0" applyNumberFormat="1" applyFont="1" applyFill="1" applyBorder="1" applyAlignment="1">
      <alignment vertical="center"/>
    </xf>
    <xf numFmtId="0" fontId="3" fillId="0" borderId="14" xfId="0" applyFont="1" applyFill="1" applyBorder="1" applyAlignment="1">
      <alignment vertical="center"/>
    </xf>
    <xf numFmtId="0" fontId="3" fillId="33" borderId="13" xfId="0" applyFont="1" applyFill="1" applyBorder="1" applyAlignment="1">
      <alignment horizontal="justify" vertical="center"/>
    </xf>
    <xf numFmtId="0" fontId="23" fillId="33" borderId="14" xfId="0" applyFont="1" applyFill="1" applyBorder="1" applyAlignment="1">
      <alignment horizontal="justify"/>
    </xf>
    <xf numFmtId="0" fontId="1" fillId="33" borderId="14" xfId="0" applyFont="1" applyFill="1" applyBorder="1" applyAlignment="1">
      <alignment horizontal="justify" vertical="center" wrapText="1"/>
    </xf>
    <xf numFmtId="0" fontId="23" fillId="33" borderId="14" xfId="0" applyFont="1" applyFill="1" applyBorder="1" applyAlignment="1">
      <alignment horizontal="justify" vertical="center" wrapText="1"/>
    </xf>
    <xf numFmtId="0" fontId="1" fillId="0" borderId="14" xfId="0" applyFont="1" applyFill="1" applyBorder="1" applyAlignment="1">
      <alignment horizontal="left" vertical="center" wrapText="1"/>
    </xf>
    <xf numFmtId="0" fontId="1" fillId="0" borderId="14" xfId="0" applyFont="1" applyFill="1" applyBorder="1" applyAlignment="1">
      <alignment vertical="center" wrapText="1"/>
    </xf>
    <xf numFmtId="0" fontId="1" fillId="33" borderId="14" xfId="58" applyFont="1" applyFill="1" applyBorder="1" applyAlignment="1">
      <alignment horizontal="left" vertical="center" wrapText="1"/>
      <protection/>
    </xf>
    <xf numFmtId="0" fontId="3" fillId="33" borderId="14" xfId="58" applyFont="1" applyFill="1" applyBorder="1" applyAlignment="1">
      <alignment horizontal="left" vertical="center" wrapText="1"/>
      <protection/>
    </xf>
    <xf numFmtId="0" fontId="1" fillId="0" borderId="14" xfId="0" applyFont="1" applyFill="1" applyBorder="1" applyAlignment="1">
      <alignment horizontal="justify" vertical="top" wrapText="1"/>
    </xf>
    <xf numFmtId="0" fontId="23" fillId="0" borderId="14" xfId="0" applyFont="1" applyFill="1" applyBorder="1" applyAlignment="1">
      <alignment vertical="center" wrapText="1"/>
    </xf>
    <xf numFmtId="0" fontId="24" fillId="0" borderId="14" xfId="0" applyFont="1" applyBorder="1" applyAlignment="1" quotePrefix="1">
      <alignment wrapText="1"/>
    </xf>
    <xf numFmtId="0" fontId="23" fillId="0" borderId="14"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1" fillId="0" borderId="14" xfId="0" applyFont="1" applyFill="1" applyBorder="1" applyAlignment="1">
      <alignment horizontal="left" vertical="top" wrapText="1"/>
    </xf>
    <xf numFmtId="3" fontId="1" fillId="33" borderId="14" xfId="0" applyNumberFormat="1" applyFont="1" applyFill="1" applyBorder="1" applyAlignment="1">
      <alignment horizontal="left" vertical="center" wrapText="1"/>
    </xf>
    <xf numFmtId="3" fontId="1" fillId="33" borderId="14" xfId="0" applyNumberFormat="1" applyFont="1" applyFill="1" applyBorder="1" applyAlignment="1">
      <alignment horizontal="justify" vertical="center" wrapText="1"/>
    </xf>
    <xf numFmtId="3" fontId="1" fillId="33" borderId="14" xfId="0" applyNumberFormat="1" applyFont="1" applyFill="1" applyBorder="1" applyAlignment="1">
      <alignment horizontal="justify"/>
    </xf>
    <xf numFmtId="3" fontId="1" fillId="0" borderId="14" xfId="0" applyNumberFormat="1" applyFont="1" applyFill="1" applyBorder="1" applyAlignment="1">
      <alignment horizontal="left" vertical="center" wrapText="1"/>
    </xf>
    <xf numFmtId="3" fontId="27" fillId="33" borderId="14" xfId="58" applyNumberFormat="1" applyFont="1" applyFill="1" applyBorder="1" applyAlignment="1">
      <alignment vertical="center" wrapText="1"/>
      <protection/>
    </xf>
    <xf numFmtId="3" fontId="28" fillId="33" borderId="14" xfId="0" applyNumberFormat="1" applyFont="1" applyFill="1" applyBorder="1" applyAlignment="1">
      <alignment horizontal="left" vertical="center" wrapText="1"/>
    </xf>
    <xf numFmtId="3" fontId="29" fillId="0" borderId="14" xfId="0" applyNumberFormat="1" applyFont="1" applyFill="1" applyBorder="1" applyAlignment="1">
      <alignment horizontal="left" vertical="center" wrapText="1"/>
    </xf>
    <xf numFmtId="3" fontId="1" fillId="33" borderId="14" xfId="0" applyNumberFormat="1" applyFont="1" applyFill="1" applyBorder="1" applyAlignment="1">
      <alignment horizontal="center" vertical="center" wrapText="1"/>
    </xf>
    <xf numFmtId="3" fontId="23" fillId="33" borderId="14" xfId="0" applyNumberFormat="1" applyFont="1" applyFill="1" applyBorder="1" applyAlignment="1">
      <alignment horizontal="left" vertical="center" wrapText="1"/>
    </xf>
    <xf numFmtId="3" fontId="1" fillId="33" borderId="14" xfId="58" applyNumberFormat="1" applyFont="1" applyFill="1" applyBorder="1" applyAlignment="1">
      <alignment horizontal="left" vertical="center" wrapText="1"/>
      <protection/>
    </xf>
    <xf numFmtId="3" fontId="27" fillId="33" borderId="14" xfId="0" applyNumberFormat="1" applyFont="1" applyFill="1" applyBorder="1" applyAlignment="1">
      <alignment vertical="center" wrapText="1"/>
    </xf>
    <xf numFmtId="3" fontId="23" fillId="33" borderId="14" xfId="0" applyNumberFormat="1" applyFont="1" applyFill="1" applyBorder="1" applyAlignment="1">
      <alignment vertical="center" wrapText="1"/>
    </xf>
    <xf numFmtId="3" fontId="3" fillId="33" borderId="14" xfId="0" applyNumberFormat="1" applyFont="1" applyFill="1" applyBorder="1" applyAlignment="1">
      <alignment vertical="center" wrapText="1"/>
    </xf>
    <xf numFmtId="3" fontId="1" fillId="0" borderId="14" xfId="0" applyNumberFormat="1" applyFont="1" applyFill="1" applyBorder="1" applyAlignment="1">
      <alignment vertical="center" wrapText="1"/>
    </xf>
    <xf numFmtId="3" fontId="1" fillId="0" borderId="14" xfId="0" applyNumberFormat="1" applyFont="1" applyFill="1" applyBorder="1" applyAlignment="1" quotePrefix="1">
      <alignment vertical="top" wrapText="1"/>
    </xf>
    <xf numFmtId="3" fontId="3" fillId="0" borderId="14" xfId="0" applyNumberFormat="1" applyFont="1" applyFill="1" applyBorder="1" applyAlignment="1">
      <alignment horizontal="justify" vertical="top" wrapText="1"/>
    </xf>
    <xf numFmtId="3" fontId="1" fillId="33" borderId="15" xfId="0" applyNumberFormat="1" applyFont="1" applyFill="1" applyBorder="1" applyAlignment="1">
      <alignment horizontal="left" vertical="center" wrapText="1"/>
    </xf>
    <xf numFmtId="49" fontId="1" fillId="0" borderId="0" xfId="0" applyNumberFormat="1" applyFont="1" applyFill="1" applyAlignment="1">
      <alignment horizontal="center" vertical="center"/>
    </xf>
    <xf numFmtId="49" fontId="3" fillId="0" borderId="1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3" fillId="33" borderId="14" xfId="0" applyFont="1" applyFill="1" applyBorder="1" applyAlignment="1">
      <alignment vertical="center" wrapText="1"/>
    </xf>
    <xf numFmtId="0" fontId="23" fillId="33" borderId="14"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14" xfId="0" applyFont="1" applyFill="1" applyBorder="1" applyAlignment="1">
      <alignment vertical="center"/>
    </xf>
    <xf numFmtId="0" fontId="26" fillId="0" borderId="14" xfId="0" applyFont="1" applyFill="1" applyBorder="1" applyAlignment="1">
      <alignment vertical="center"/>
    </xf>
    <xf numFmtId="3" fontId="1" fillId="0" borderId="14"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wrapText="1"/>
    </xf>
    <xf numFmtId="188" fontId="1"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5" fillId="0" borderId="14" xfId="0" applyFont="1" applyFill="1" applyBorder="1" applyAlignment="1">
      <alignment horizontal="center" vertical="center"/>
    </xf>
    <xf numFmtId="0" fontId="23" fillId="0" borderId="14" xfId="0" applyFont="1" applyFill="1" applyBorder="1" applyAlignment="1">
      <alignment vertical="center"/>
    </xf>
    <xf numFmtId="0" fontId="1" fillId="0" borderId="15" xfId="0" applyFont="1" applyFill="1" applyBorder="1" applyAlignment="1">
      <alignment horizontal="center" vertical="center"/>
    </xf>
    <xf numFmtId="0" fontId="1" fillId="0" borderId="15" xfId="0" applyFont="1" applyFill="1" applyBorder="1" applyAlignment="1">
      <alignment vertical="center"/>
    </xf>
    <xf numFmtId="3" fontId="1" fillId="33" borderId="14" xfId="0" applyNumberFormat="1" applyFont="1" applyFill="1" applyBorder="1" applyAlignment="1">
      <alignment horizontal="justify" vertical="center"/>
    </xf>
    <xf numFmtId="0" fontId="1" fillId="0" borderId="14" xfId="61" applyFont="1" applyFill="1" applyBorder="1" applyAlignment="1">
      <alignment horizontal="left" vertical="center" wrapText="1"/>
      <protection/>
    </xf>
    <xf numFmtId="189" fontId="1" fillId="0" borderId="14" xfId="42" applyNumberFormat="1" applyFont="1" applyFill="1" applyBorder="1" applyAlignment="1">
      <alignment horizontal="right" vertical="center"/>
    </xf>
    <xf numFmtId="194" fontId="1" fillId="0" borderId="14" xfId="61" applyNumberFormat="1" applyFont="1" applyFill="1" applyBorder="1" applyAlignment="1">
      <alignment horizontal="right" vertical="center" wrapText="1"/>
      <protection/>
    </xf>
    <xf numFmtId="0" fontId="1" fillId="0" borderId="14" xfId="61" applyFont="1" applyFill="1" applyBorder="1" applyAlignment="1">
      <alignment horizontal="left" wrapText="1"/>
      <protection/>
    </xf>
    <xf numFmtId="0" fontId="1" fillId="0" borderId="14" xfId="61" applyFont="1" applyFill="1" applyBorder="1" applyAlignment="1">
      <alignment horizontal="center" wrapText="1"/>
      <protection/>
    </xf>
    <xf numFmtId="191" fontId="1" fillId="0" borderId="14" xfId="42" applyNumberFormat="1" applyFont="1" applyFill="1" applyBorder="1" applyAlignment="1">
      <alignment horizontal="right" wrapText="1"/>
    </xf>
    <xf numFmtId="189" fontId="1" fillId="0" borderId="14" xfId="42" applyNumberFormat="1" applyFont="1" applyFill="1" applyBorder="1" applyAlignment="1">
      <alignment horizontal="right" vertical="center" wrapText="1"/>
    </xf>
    <xf numFmtId="0" fontId="1" fillId="0" borderId="14" xfId="61" applyFont="1" applyFill="1" applyBorder="1" applyAlignment="1">
      <alignment wrapText="1"/>
      <protection/>
    </xf>
    <xf numFmtId="189" fontId="1" fillId="0" borderId="14" xfId="42" applyNumberFormat="1" applyFont="1" applyFill="1" applyBorder="1" applyAlignment="1">
      <alignment horizontal="right" wrapText="1"/>
    </xf>
    <xf numFmtId="0" fontId="8" fillId="0" borderId="0" xfId="0" applyFont="1" applyFill="1" applyAlignment="1">
      <alignment vertical="center"/>
    </xf>
    <xf numFmtId="49" fontId="1" fillId="0" borderId="14" xfId="61" applyNumberFormat="1" applyFont="1" applyFill="1" applyBorder="1" applyAlignment="1">
      <alignment horizontal="center" vertical="center"/>
      <protection/>
    </xf>
    <xf numFmtId="49" fontId="8" fillId="0" borderId="14" xfId="61" applyNumberFormat="1" applyFont="1" applyFill="1" applyBorder="1" applyAlignment="1">
      <alignment horizontal="center" vertical="center"/>
      <protection/>
    </xf>
    <xf numFmtId="0" fontId="8" fillId="0" borderId="14" xfId="61" applyFont="1" applyFill="1" applyBorder="1" applyAlignment="1">
      <alignment horizontal="left" wrapText="1"/>
      <protection/>
    </xf>
    <xf numFmtId="191" fontId="8" fillId="0" borderId="14" xfId="42" applyNumberFormat="1" applyFont="1" applyFill="1" applyBorder="1" applyAlignment="1">
      <alignment horizontal="right" wrapText="1"/>
    </xf>
    <xf numFmtId="0" fontId="3" fillId="0" borderId="14" xfId="0" applyFont="1" applyFill="1" applyBorder="1" applyAlignment="1">
      <alignment vertical="center" wrapText="1"/>
    </xf>
    <xf numFmtId="0" fontId="9" fillId="0" borderId="0" xfId="0" applyFont="1" applyBorder="1" applyAlignment="1">
      <alignment/>
    </xf>
    <xf numFmtId="0" fontId="3" fillId="0" borderId="13" xfId="0" applyFont="1" applyFill="1" applyBorder="1" applyAlignment="1">
      <alignment horizontal="center" vertical="center"/>
    </xf>
    <xf numFmtId="188" fontId="3" fillId="0" borderId="13" xfId="42" applyNumberFormat="1" applyFont="1" applyFill="1" applyBorder="1" applyAlignment="1">
      <alignment horizontal="right" vertical="center"/>
    </xf>
    <xf numFmtId="0" fontId="5" fillId="0" borderId="14" xfId="0" applyFont="1" applyFill="1" applyBorder="1" applyAlignment="1">
      <alignment horizontal="center" vertical="center" wrapText="1"/>
    </xf>
    <xf numFmtId="188" fontId="5" fillId="0" borderId="14" xfId="42" applyNumberFormat="1" applyFont="1" applyFill="1" applyBorder="1" applyAlignment="1">
      <alignment vertical="center"/>
    </xf>
    <xf numFmtId="188" fontId="5" fillId="0" borderId="14" xfId="42" applyNumberFormat="1" applyFont="1" applyFill="1" applyBorder="1" applyAlignment="1">
      <alignment horizontal="center" vertical="center"/>
    </xf>
    <xf numFmtId="188" fontId="5" fillId="0" borderId="14" xfId="42" applyNumberFormat="1" applyFont="1" applyFill="1" applyBorder="1" applyAlignment="1">
      <alignment horizontal="right" vertical="center"/>
    </xf>
    <xf numFmtId="188" fontId="5" fillId="0" borderId="14" xfId="42" applyNumberFormat="1" applyFont="1" applyFill="1" applyBorder="1" applyAlignment="1">
      <alignment horizontal="left" vertical="center"/>
    </xf>
    <xf numFmtId="188" fontId="3" fillId="0" borderId="14" xfId="42" applyNumberFormat="1" applyFont="1" applyFill="1" applyBorder="1" applyAlignment="1">
      <alignment horizontal="right" vertical="center"/>
    </xf>
    <xf numFmtId="0" fontId="8" fillId="0" borderId="14" xfId="0" applyFont="1" applyFill="1" applyBorder="1" applyAlignment="1">
      <alignment horizontal="center" vertical="center"/>
    </xf>
    <xf numFmtId="0" fontId="8" fillId="0" borderId="14" xfId="0" applyFont="1" applyFill="1" applyBorder="1" applyAlignment="1">
      <alignment horizontal="left" vertical="center" wrapText="1"/>
    </xf>
    <xf numFmtId="188" fontId="8" fillId="0" borderId="14" xfId="42" applyNumberFormat="1" applyFont="1" applyFill="1" applyBorder="1" applyAlignment="1">
      <alignment horizontal="right" vertical="center"/>
    </xf>
    <xf numFmtId="189" fontId="1" fillId="0" borderId="14" xfId="42" applyNumberFormat="1" applyFont="1" applyFill="1" applyBorder="1" applyAlignment="1">
      <alignment horizontal="center" vertical="center" wrapText="1"/>
    </xf>
    <xf numFmtId="188" fontId="1" fillId="0" borderId="14" xfId="42" applyNumberFormat="1" applyFont="1" applyFill="1" applyBorder="1" applyAlignment="1">
      <alignment horizontal="right" vertical="center"/>
    </xf>
    <xf numFmtId="188" fontId="1" fillId="0" borderId="14" xfId="42" applyNumberFormat="1" applyFont="1" applyFill="1" applyBorder="1" applyAlignment="1">
      <alignment horizontal="center" vertical="center"/>
    </xf>
    <xf numFmtId="189" fontId="10" fillId="0" borderId="14" xfId="42" applyNumberFormat="1" applyFont="1" applyBorder="1" applyAlignment="1">
      <alignment/>
    </xf>
    <xf numFmtId="189" fontId="10" fillId="0" borderId="14" xfId="42" applyNumberFormat="1" applyFont="1" applyBorder="1" applyAlignment="1">
      <alignment horizontal="center" vertical="center"/>
    </xf>
    <xf numFmtId="189" fontId="1" fillId="0" borderId="14" xfId="42" applyNumberFormat="1" applyFont="1" applyFill="1" applyBorder="1" applyAlignment="1">
      <alignment horizontal="center" vertical="center"/>
    </xf>
    <xf numFmtId="189" fontId="5" fillId="0" borderId="14" xfId="42" applyNumberFormat="1" applyFont="1" applyFill="1" applyBorder="1" applyAlignment="1">
      <alignment horizontal="center" vertical="center"/>
    </xf>
    <xf numFmtId="0" fontId="1" fillId="0" borderId="14" xfId="0" applyFont="1" applyBorder="1" applyAlignment="1">
      <alignment horizontal="left" vertical="center" wrapText="1"/>
    </xf>
    <xf numFmtId="0" fontId="1" fillId="0" borderId="14" xfId="0" applyFont="1" applyBorder="1" applyAlignment="1">
      <alignment/>
    </xf>
    <xf numFmtId="0" fontId="1" fillId="0" borderId="14" xfId="0" applyFont="1" applyBorder="1" applyAlignment="1">
      <alignment horizontal="center"/>
    </xf>
    <xf numFmtId="0" fontId="3" fillId="0" borderId="14" xfId="0" applyFont="1" applyBorder="1" applyAlignment="1">
      <alignment horizontal="left" vertical="center" wrapText="1"/>
    </xf>
    <xf numFmtId="191" fontId="3" fillId="0" borderId="14" xfId="0" applyNumberFormat="1" applyFont="1" applyBorder="1" applyAlignment="1">
      <alignment/>
    </xf>
    <xf numFmtId="0" fontId="8" fillId="0" borderId="14" xfId="0" applyFont="1" applyBorder="1" applyAlignment="1">
      <alignment horizontal="left" vertical="center" wrapText="1"/>
    </xf>
    <xf numFmtId="189" fontId="8" fillId="0" borderId="14" xfId="0" applyNumberFormat="1" applyFont="1" applyBorder="1" applyAlignment="1">
      <alignment/>
    </xf>
    <xf numFmtId="0" fontId="10" fillId="0" borderId="14" xfId="0" applyFont="1" applyBorder="1" applyAlignment="1">
      <alignment/>
    </xf>
    <xf numFmtId="0" fontId="10" fillId="0" borderId="0" xfId="0" applyFont="1" applyAlignment="1">
      <alignment/>
    </xf>
    <xf numFmtId="0" fontId="9" fillId="0" borderId="0" xfId="0" applyFont="1" applyAlignment="1">
      <alignment/>
    </xf>
    <xf numFmtId="0" fontId="10" fillId="0" borderId="14" xfId="0" applyFont="1" applyFill="1" applyBorder="1" applyAlignment="1">
      <alignment/>
    </xf>
    <xf numFmtId="0" fontId="10" fillId="0" borderId="0" xfId="0" applyFont="1" applyBorder="1" applyAlignment="1">
      <alignment/>
    </xf>
    <xf numFmtId="4" fontId="3" fillId="0" borderId="14" xfId="0" applyNumberFormat="1" applyFont="1" applyFill="1" applyBorder="1" applyAlignment="1">
      <alignment vertical="center"/>
    </xf>
    <xf numFmtId="3" fontId="3" fillId="0" borderId="14" xfId="0" applyNumberFormat="1" applyFont="1" applyFill="1" applyBorder="1" applyAlignment="1">
      <alignment vertical="center"/>
    </xf>
    <xf numFmtId="4" fontId="1" fillId="0" borderId="14" xfId="0" applyNumberFormat="1" applyFont="1" applyFill="1" applyBorder="1" applyAlignment="1">
      <alignment horizontal="right" vertical="center"/>
    </xf>
    <xf numFmtId="3" fontId="1" fillId="0" borderId="14" xfId="0" applyNumberFormat="1" applyFont="1" applyFill="1" applyBorder="1" applyAlignment="1">
      <alignment vertical="center"/>
    </xf>
    <xf numFmtId="189" fontId="10" fillId="0" borderId="14" xfId="42" applyNumberFormat="1" applyFont="1" applyBorder="1" applyAlignment="1">
      <alignment vertical="center"/>
    </xf>
    <xf numFmtId="0" fontId="3" fillId="0" borderId="14" xfId="0" applyFont="1" applyFill="1" applyBorder="1" applyAlignment="1">
      <alignment horizontal="left" vertical="center" wrapText="1"/>
    </xf>
    <xf numFmtId="188" fontId="1" fillId="0" borderId="14" xfId="42" applyNumberFormat="1" applyFont="1" applyFill="1" applyBorder="1" applyAlignment="1">
      <alignment horizontal="left" vertical="center"/>
    </xf>
    <xf numFmtId="49" fontId="3" fillId="0" borderId="14" xfId="61" applyNumberFormat="1" applyFont="1" applyFill="1" applyBorder="1" applyAlignment="1">
      <alignment horizontal="center" vertical="center"/>
      <protection/>
    </xf>
    <xf numFmtId="0" fontId="11" fillId="0" borderId="0" xfId="0" applyFont="1" applyBorder="1" applyAlignment="1">
      <alignment/>
    </xf>
    <xf numFmtId="0" fontId="11" fillId="0" borderId="0" xfId="0" applyFont="1" applyAlignment="1">
      <alignment/>
    </xf>
    <xf numFmtId="188" fontId="1" fillId="0" borderId="14" xfId="0" applyNumberFormat="1" applyFont="1" applyFill="1" applyBorder="1" applyAlignment="1">
      <alignment horizontal="center" vertical="center"/>
    </xf>
    <xf numFmtId="0" fontId="3" fillId="0" borderId="14" xfId="61" applyFont="1" applyFill="1" applyBorder="1" applyAlignment="1">
      <alignment wrapText="1"/>
      <protection/>
    </xf>
    <xf numFmtId="0" fontId="1" fillId="0" borderId="15" xfId="0" applyFont="1" applyFill="1" applyBorder="1" applyAlignment="1">
      <alignment horizontal="left" vertical="center" wrapText="1"/>
    </xf>
    <xf numFmtId="189" fontId="1" fillId="0" borderId="15" xfId="42" applyNumberFormat="1" applyFont="1" applyFill="1" applyBorder="1" applyAlignment="1">
      <alignment horizontal="center" vertical="center"/>
    </xf>
    <xf numFmtId="188" fontId="1" fillId="0" borderId="15" xfId="42" applyNumberFormat="1" applyFont="1" applyFill="1" applyBorder="1" applyAlignment="1">
      <alignment horizontal="right" vertical="center"/>
    </xf>
    <xf numFmtId="3" fontId="1" fillId="0" borderId="16" xfId="0" applyNumberFormat="1" applyFont="1" applyFill="1" applyBorder="1" applyAlignment="1">
      <alignment vertical="center"/>
    </xf>
    <xf numFmtId="0" fontId="9" fillId="0" borderId="14" xfId="0" applyFont="1" applyBorder="1" applyAlignment="1">
      <alignment/>
    </xf>
    <xf numFmtId="189" fontId="3" fillId="0" borderId="14" xfId="42" applyNumberFormat="1" applyFont="1" applyBorder="1" applyAlignment="1">
      <alignment/>
    </xf>
    <xf numFmtId="195" fontId="10" fillId="0" borderId="17" xfId="0" applyNumberFormat="1" applyFont="1" applyBorder="1" applyAlignment="1">
      <alignment/>
    </xf>
    <xf numFmtId="195" fontId="9" fillId="0" borderId="17" xfId="0" applyNumberFormat="1" applyFont="1" applyBorder="1" applyAlignment="1">
      <alignment/>
    </xf>
    <xf numFmtId="195" fontId="10" fillId="0" borderId="17" xfId="42" applyNumberFormat="1" applyFont="1" applyBorder="1" applyAlignment="1">
      <alignment/>
    </xf>
    <xf numFmtId="0" fontId="10" fillId="0" borderId="17" xfId="0" applyFont="1" applyBorder="1" applyAlignment="1">
      <alignment/>
    </xf>
    <xf numFmtId="3" fontId="1" fillId="0" borderId="15" xfId="42" applyNumberFormat="1" applyFont="1" applyFill="1" applyBorder="1" applyAlignment="1">
      <alignment horizontal="right" vertical="center"/>
    </xf>
    <xf numFmtId="188" fontId="1" fillId="0" borderId="14" xfId="0" applyNumberFormat="1" applyFont="1" applyFill="1" applyBorder="1" applyAlignment="1">
      <alignment vertical="center"/>
    </xf>
    <xf numFmtId="189" fontId="2" fillId="0" borderId="0" xfId="0" applyNumberFormat="1" applyFont="1" applyFill="1" applyAlignment="1">
      <alignment horizontal="center" vertical="center"/>
    </xf>
    <xf numFmtId="0" fontId="7" fillId="0" borderId="0" xfId="0" applyFont="1" applyAlignment="1">
      <alignment/>
    </xf>
    <xf numFmtId="0" fontId="13" fillId="0" borderId="0" xfId="0" applyFont="1" applyAlignment="1">
      <alignment/>
    </xf>
    <xf numFmtId="0" fontId="3" fillId="0" borderId="12" xfId="0" applyFont="1" applyBorder="1" applyAlignment="1">
      <alignment horizontal="center" vertical="center" wrapText="1"/>
    </xf>
    <xf numFmtId="0" fontId="8" fillId="0" borderId="14" xfId="0" applyFont="1" applyBorder="1" applyAlignment="1">
      <alignment vertical="center" wrapText="1"/>
    </xf>
    <xf numFmtId="0" fontId="3" fillId="0" borderId="13" xfId="0" applyFont="1" applyBorder="1" applyAlignment="1">
      <alignment vertical="center" wrapText="1"/>
    </xf>
    <xf numFmtId="3" fontId="1" fillId="0" borderId="13" xfId="0" applyNumberFormat="1" applyFont="1" applyBorder="1" applyAlignment="1">
      <alignment/>
    </xf>
    <xf numFmtId="0" fontId="1" fillId="0" borderId="14" xfId="0" applyFont="1" applyBorder="1" applyAlignment="1">
      <alignment horizontal="center" vertical="center" wrapText="1"/>
    </xf>
    <xf numFmtId="0" fontId="1" fillId="0" borderId="14" xfId="0" applyFont="1" applyBorder="1" applyAlignment="1">
      <alignment vertical="center" wrapText="1"/>
    </xf>
    <xf numFmtId="3" fontId="1" fillId="0" borderId="14" xfId="0" applyNumberFormat="1" applyFont="1" applyBorder="1" applyAlignment="1">
      <alignment/>
    </xf>
    <xf numFmtId="0" fontId="3" fillId="0" borderId="14" xfId="0" applyFont="1" applyBorder="1" applyAlignment="1">
      <alignment vertical="center" wrapText="1"/>
    </xf>
    <xf numFmtId="0" fontId="7" fillId="0" borderId="14" xfId="0" applyFont="1" applyBorder="1" applyAlignment="1">
      <alignment horizontal="center" vertical="center"/>
    </xf>
    <xf numFmtId="0" fontId="7" fillId="0" borderId="14" xfId="0" applyFont="1" applyBorder="1" applyAlignment="1">
      <alignment horizontal="center"/>
    </xf>
    <xf numFmtId="3" fontId="1" fillId="0" borderId="14" xfId="0" applyNumberFormat="1" applyFont="1" applyBorder="1" applyAlignment="1">
      <alignment vertical="center"/>
    </xf>
    <xf numFmtId="0" fontId="7" fillId="0" borderId="15" xfId="0" applyFont="1" applyBorder="1" applyAlignment="1">
      <alignment horizontal="center"/>
    </xf>
    <xf numFmtId="0" fontId="1" fillId="0" borderId="15" xfId="0" applyFont="1" applyBorder="1" applyAlignment="1">
      <alignment vertical="center" wrapText="1"/>
    </xf>
    <xf numFmtId="0" fontId="1" fillId="0" borderId="15" xfId="0" applyFont="1" applyBorder="1" applyAlignment="1">
      <alignment/>
    </xf>
    <xf numFmtId="3" fontId="7" fillId="0" borderId="0" xfId="0" applyNumberFormat="1" applyFont="1" applyAlignment="1">
      <alignment/>
    </xf>
    <xf numFmtId="4" fontId="1" fillId="0" borderId="14" xfId="0" applyNumberFormat="1" applyFont="1" applyBorder="1" applyAlignment="1">
      <alignment vertical="center"/>
    </xf>
    <xf numFmtId="188" fontId="1" fillId="0" borderId="14" xfId="0" applyNumberFormat="1" applyFont="1" applyBorder="1" applyAlignment="1">
      <alignment/>
    </xf>
    <xf numFmtId="188" fontId="3" fillId="0" borderId="0" xfId="0" applyNumberFormat="1" applyFont="1" applyFill="1" applyAlignment="1">
      <alignment vertical="center"/>
    </xf>
    <xf numFmtId="188" fontId="2" fillId="0" borderId="0" xfId="0" applyNumberFormat="1" applyFont="1" applyFill="1" applyAlignment="1">
      <alignment vertical="center"/>
    </xf>
    <xf numFmtId="189" fontId="2" fillId="0" borderId="0" xfId="0" applyNumberFormat="1" applyFont="1" applyFill="1" applyAlignment="1">
      <alignment vertical="center"/>
    </xf>
    <xf numFmtId="188" fontId="7" fillId="0" borderId="0" xfId="0" applyNumberFormat="1" applyFont="1" applyAlignment="1">
      <alignment/>
    </xf>
    <xf numFmtId="3" fontId="3" fillId="0" borderId="0" xfId="0" applyNumberFormat="1" applyFont="1" applyFill="1" applyAlignment="1">
      <alignment vertical="center"/>
    </xf>
    <xf numFmtId="1" fontId="12" fillId="0" borderId="0" xfId="62" applyNumberFormat="1" applyFont="1" applyFill="1" applyAlignment="1">
      <alignment horizontal="center" vertical="center" wrapText="1"/>
      <protection/>
    </xf>
    <xf numFmtId="1" fontId="15" fillId="0" borderId="0" xfId="62" applyNumberFormat="1" applyFont="1" applyFill="1" applyBorder="1" applyAlignment="1">
      <alignment vertical="center"/>
      <protection/>
    </xf>
    <xf numFmtId="1" fontId="15" fillId="33" borderId="0" xfId="62" applyNumberFormat="1" applyFont="1" applyFill="1" applyBorder="1" applyAlignment="1">
      <alignment vertical="center"/>
      <protection/>
    </xf>
    <xf numFmtId="1" fontId="15" fillId="33" borderId="0" xfId="62" applyNumberFormat="1" applyFont="1" applyFill="1" applyAlignment="1">
      <alignment vertical="center"/>
      <protection/>
    </xf>
    <xf numFmtId="1" fontId="15" fillId="0" borderId="0" xfId="62" applyNumberFormat="1" applyFont="1" applyFill="1" applyAlignment="1">
      <alignment vertical="center"/>
      <protection/>
    </xf>
    <xf numFmtId="1" fontId="6" fillId="0" borderId="0" xfId="62" applyNumberFormat="1" applyFont="1" applyFill="1" applyAlignment="1">
      <alignment horizontal="center" vertical="center" wrapText="1"/>
      <protection/>
    </xf>
    <xf numFmtId="1" fontId="15" fillId="0" borderId="0" xfId="62" applyNumberFormat="1" applyFont="1" applyFill="1" applyBorder="1" applyAlignment="1">
      <alignment horizontal="center" vertical="center"/>
      <protection/>
    </xf>
    <xf numFmtId="1" fontId="13" fillId="0" borderId="0" xfId="62" applyNumberFormat="1" applyFont="1" applyFill="1" applyAlignment="1">
      <alignment horizontal="right" vertical="center" wrapText="1"/>
      <protection/>
    </xf>
    <xf numFmtId="1" fontId="13" fillId="0" borderId="0" xfId="62" applyNumberFormat="1" applyFont="1" applyFill="1" applyAlignment="1">
      <alignment horizontal="center" vertical="center" wrapText="1"/>
      <protection/>
    </xf>
    <xf numFmtId="1" fontId="30" fillId="0" borderId="0" xfId="62" applyNumberFormat="1" applyFont="1" applyFill="1" applyAlignment="1">
      <alignment horizontal="right" vertical="center" wrapText="1"/>
      <protection/>
    </xf>
    <xf numFmtId="1" fontId="7" fillId="0" borderId="0" xfId="62" applyNumberFormat="1" applyFont="1" applyFill="1" applyBorder="1" applyAlignment="1">
      <alignment horizontal="right" vertical="center"/>
      <protection/>
    </xf>
    <xf numFmtId="1" fontId="7" fillId="33" borderId="0" xfId="62" applyNumberFormat="1" applyFont="1" applyFill="1" applyBorder="1" applyAlignment="1">
      <alignment horizontal="right" vertical="center"/>
      <protection/>
    </xf>
    <xf numFmtId="1" fontId="7" fillId="33" borderId="0" xfId="62" applyNumberFormat="1" applyFont="1" applyFill="1" applyAlignment="1">
      <alignment horizontal="right" vertical="center"/>
      <protection/>
    </xf>
    <xf numFmtId="1" fontId="7" fillId="0" borderId="0" xfId="62" applyNumberFormat="1" applyFont="1" applyFill="1" applyAlignment="1">
      <alignment horizontal="right" vertical="center"/>
      <protection/>
    </xf>
    <xf numFmtId="1" fontId="14" fillId="33" borderId="0" xfId="62" applyNumberFormat="1" applyFont="1" applyFill="1" applyBorder="1" applyAlignment="1">
      <alignment vertical="center"/>
      <protection/>
    </xf>
    <xf numFmtId="1" fontId="14" fillId="33" borderId="0" xfId="62" applyNumberFormat="1" applyFont="1" applyFill="1" applyAlignment="1">
      <alignment vertical="center"/>
      <protection/>
    </xf>
    <xf numFmtId="1" fontId="14" fillId="0" borderId="0" xfId="62" applyNumberFormat="1" applyFont="1" applyFill="1" applyAlignment="1">
      <alignment vertical="center"/>
      <protection/>
    </xf>
    <xf numFmtId="3" fontId="14" fillId="33" borderId="0" xfId="62" applyNumberFormat="1" applyFont="1" applyFill="1" applyBorder="1" applyAlignment="1">
      <alignment vertical="center" wrapText="1"/>
      <protection/>
    </xf>
    <xf numFmtId="3" fontId="14" fillId="0" borderId="0" xfId="62" applyNumberFormat="1" applyFont="1" applyBorder="1" applyAlignment="1">
      <alignment vertical="center" wrapText="1"/>
      <protection/>
    </xf>
    <xf numFmtId="3" fontId="7" fillId="33" borderId="0" xfId="62" applyNumberFormat="1" applyFont="1" applyFill="1" applyBorder="1" applyAlignment="1">
      <alignment vertical="center" wrapText="1"/>
      <protection/>
    </xf>
    <xf numFmtId="3" fontId="7" fillId="0" borderId="0" xfId="62" applyNumberFormat="1" applyFont="1" applyBorder="1" applyAlignment="1">
      <alignment vertical="center" wrapText="1"/>
      <protection/>
    </xf>
    <xf numFmtId="3" fontId="14" fillId="0" borderId="0" xfId="62" applyNumberFormat="1" applyFont="1" applyFill="1" applyBorder="1" applyAlignment="1">
      <alignment vertical="center" wrapText="1"/>
      <protection/>
    </xf>
    <xf numFmtId="193" fontId="7" fillId="0" borderId="14" xfId="62" applyNumberFormat="1" applyFont="1" applyFill="1" applyBorder="1" applyAlignment="1">
      <alignment horizontal="right" vertical="center"/>
      <protection/>
    </xf>
    <xf numFmtId="1" fontId="7" fillId="0" borderId="14" xfId="62" applyNumberFormat="1" applyFont="1" applyFill="1" applyBorder="1" applyAlignment="1">
      <alignment horizontal="right" vertical="center"/>
      <protection/>
    </xf>
    <xf numFmtId="1" fontId="16" fillId="0" borderId="14" xfId="62" applyNumberFormat="1" applyFont="1" applyFill="1" applyBorder="1" applyAlignment="1">
      <alignment horizontal="right" vertical="center"/>
      <protection/>
    </xf>
    <xf numFmtId="203" fontId="7" fillId="0" borderId="14" xfId="42" applyNumberFormat="1" applyFont="1" applyFill="1" applyBorder="1" applyAlignment="1">
      <alignment horizontal="right" vertical="center"/>
    </xf>
    <xf numFmtId="3" fontId="7" fillId="0" borderId="14" xfId="62" applyNumberFormat="1" applyFont="1" applyFill="1" applyBorder="1" applyAlignment="1">
      <alignment vertical="center" wrapText="1"/>
      <protection/>
    </xf>
    <xf numFmtId="188" fontId="7" fillId="0" borderId="14" xfId="62" applyNumberFormat="1" applyFont="1" applyFill="1" applyBorder="1" applyAlignment="1">
      <alignment vertical="center" wrapText="1"/>
      <protection/>
    </xf>
    <xf numFmtId="43" fontId="31" fillId="0" borderId="14" xfId="42" applyFont="1" applyFill="1" applyBorder="1" applyAlignment="1">
      <alignment horizontal="right" vertical="center"/>
    </xf>
    <xf numFmtId="3" fontId="7" fillId="0" borderId="0" xfId="62" applyNumberFormat="1" applyFont="1" applyFill="1" applyBorder="1" applyAlignment="1">
      <alignment vertical="center" wrapText="1"/>
      <protection/>
    </xf>
    <xf numFmtId="1" fontId="7" fillId="0" borderId="14" xfId="62" applyNumberFormat="1" applyFont="1" applyFill="1" applyBorder="1" applyAlignment="1">
      <alignment horizontal="center" vertical="center" wrapText="1"/>
      <protection/>
    </xf>
    <xf numFmtId="1" fontId="7" fillId="0" borderId="14" xfId="62" applyNumberFormat="1" applyFont="1" applyFill="1" applyBorder="1" applyAlignment="1">
      <alignment horizontal="center" vertical="center"/>
      <protection/>
    </xf>
    <xf numFmtId="1" fontId="7" fillId="0" borderId="14" xfId="62" applyNumberFormat="1" applyFont="1" applyFill="1" applyBorder="1" applyAlignment="1">
      <alignment vertical="center"/>
      <protection/>
    </xf>
    <xf numFmtId="1" fontId="7" fillId="33" borderId="0" xfId="62" applyNumberFormat="1" applyFont="1" applyFill="1" applyBorder="1" applyAlignment="1">
      <alignment vertical="center"/>
      <protection/>
    </xf>
    <xf numFmtId="1" fontId="7" fillId="33" borderId="0" xfId="62" applyNumberFormat="1" applyFont="1" applyFill="1" applyAlignment="1">
      <alignment vertical="center"/>
      <protection/>
    </xf>
    <xf numFmtId="1" fontId="7" fillId="0" borderId="0" xfId="62" applyNumberFormat="1" applyFont="1" applyFill="1" applyAlignment="1">
      <alignment vertical="center"/>
      <protection/>
    </xf>
    <xf numFmtId="1" fontId="16" fillId="33" borderId="0" xfId="62" applyNumberFormat="1" applyFont="1" applyFill="1" applyBorder="1" applyAlignment="1">
      <alignment vertical="center"/>
      <protection/>
    </xf>
    <xf numFmtId="1" fontId="16" fillId="33" borderId="0" xfId="62" applyNumberFormat="1" applyFont="1" applyFill="1" applyAlignment="1">
      <alignment vertical="center"/>
      <protection/>
    </xf>
    <xf numFmtId="1" fontId="16" fillId="0" borderId="0" xfId="62" applyNumberFormat="1" applyFont="1" applyFill="1" applyAlignment="1">
      <alignment vertical="center"/>
      <protection/>
    </xf>
    <xf numFmtId="0" fontId="7" fillId="0" borderId="14" xfId="0" applyFont="1" applyFill="1" applyBorder="1" applyAlignment="1">
      <alignment horizontal="center" vertical="center" wrapText="1"/>
    </xf>
    <xf numFmtId="1" fontId="7" fillId="0" borderId="18" xfId="62" applyNumberFormat="1" applyFont="1" applyFill="1" applyBorder="1" applyAlignment="1">
      <alignment horizontal="center" vertical="center" wrapText="1"/>
      <protection/>
    </xf>
    <xf numFmtId="1" fontId="7" fillId="0" borderId="18" xfId="62" applyNumberFormat="1" applyFont="1" applyFill="1" applyBorder="1" applyAlignment="1">
      <alignment horizontal="center" vertical="center"/>
      <protection/>
    </xf>
    <xf numFmtId="193" fontId="7" fillId="0" borderId="18" xfId="62" applyNumberFormat="1" applyFont="1" applyFill="1" applyBorder="1" applyAlignment="1">
      <alignment horizontal="right" vertical="center"/>
      <protection/>
    </xf>
    <xf numFmtId="203" fontId="7" fillId="0" borderId="18" xfId="42" applyNumberFormat="1" applyFont="1" applyFill="1" applyBorder="1" applyAlignment="1">
      <alignment horizontal="right" vertical="center"/>
    </xf>
    <xf numFmtId="1" fontId="7" fillId="0" borderId="18" xfId="62" applyNumberFormat="1" applyFont="1" applyFill="1" applyBorder="1" applyAlignment="1">
      <alignment vertical="center"/>
      <protection/>
    </xf>
    <xf numFmtId="3" fontId="7" fillId="0" borderId="18" xfId="62" applyNumberFormat="1" applyFont="1" applyFill="1" applyBorder="1" applyAlignment="1">
      <alignment vertical="center" wrapText="1"/>
      <protection/>
    </xf>
    <xf numFmtId="188" fontId="7" fillId="0" borderId="18" xfId="62" applyNumberFormat="1" applyFont="1" applyFill="1" applyBorder="1" applyAlignment="1">
      <alignment vertical="center" wrapText="1"/>
      <protection/>
    </xf>
    <xf numFmtId="1" fontId="7" fillId="0" borderId="15" xfId="62" applyNumberFormat="1" applyFont="1" applyFill="1" applyBorder="1" applyAlignment="1">
      <alignment horizontal="center" vertical="center" wrapText="1"/>
      <protection/>
    </xf>
    <xf numFmtId="1" fontId="7" fillId="0" borderId="15" xfId="62" applyNumberFormat="1" applyFont="1" applyFill="1" applyBorder="1" applyAlignment="1">
      <alignment horizontal="center" vertical="center"/>
      <protection/>
    </xf>
    <xf numFmtId="1" fontId="7" fillId="0" borderId="15" xfId="62" applyNumberFormat="1" applyFont="1" applyFill="1" applyBorder="1" applyAlignment="1">
      <alignment horizontal="right" vertical="center"/>
      <protection/>
    </xf>
    <xf numFmtId="1" fontId="16" fillId="0" borderId="15" xfId="62" applyNumberFormat="1" applyFont="1" applyFill="1" applyBorder="1" applyAlignment="1">
      <alignment horizontal="right" vertical="center"/>
      <protection/>
    </xf>
    <xf numFmtId="1" fontId="7" fillId="0" borderId="15" xfId="62" applyNumberFormat="1" applyFont="1" applyFill="1" applyBorder="1" applyAlignment="1">
      <alignment vertical="center"/>
      <protection/>
    </xf>
    <xf numFmtId="3" fontId="7" fillId="0" borderId="15" xfId="62" applyNumberFormat="1" applyFont="1" applyFill="1" applyBorder="1" applyAlignment="1">
      <alignment vertical="center" wrapText="1"/>
      <protection/>
    </xf>
    <xf numFmtId="1" fontId="7" fillId="0" borderId="19" xfId="62" applyNumberFormat="1" applyFont="1" applyFill="1" applyBorder="1" applyAlignment="1">
      <alignment horizontal="center" vertical="center" wrapText="1"/>
      <protection/>
    </xf>
    <xf numFmtId="203" fontId="7" fillId="0" borderId="14" xfId="42" applyNumberFormat="1" applyFont="1" applyFill="1" applyBorder="1" applyAlignment="1">
      <alignment vertical="center"/>
    </xf>
    <xf numFmtId="43" fontId="7" fillId="0" borderId="14" xfId="42" applyFont="1" applyFill="1" applyBorder="1" applyAlignment="1">
      <alignment horizontal="right" vertical="center"/>
    </xf>
    <xf numFmtId="190" fontId="7" fillId="33" borderId="0" xfId="62" applyNumberFormat="1" applyFont="1" applyFill="1" applyBorder="1" applyAlignment="1">
      <alignment vertical="center"/>
      <protection/>
    </xf>
    <xf numFmtId="2" fontId="7" fillId="33" borderId="0" xfId="62" applyNumberFormat="1" applyFont="1" applyFill="1" applyBorder="1" applyAlignment="1">
      <alignment vertical="center"/>
      <protection/>
    </xf>
    <xf numFmtId="1" fontId="7" fillId="0" borderId="15" xfId="62" applyNumberFormat="1" applyFont="1" applyFill="1" applyBorder="1" applyAlignment="1">
      <alignment vertical="center" wrapText="1"/>
      <protection/>
    </xf>
    <xf numFmtId="1" fontId="14" fillId="0" borderId="0" xfId="62" applyNumberFormat="1" applyFont="1" applyFill="1" applyBorder="1" applyAlignment="1">
      <alignment vertical="center"/>
      <protection/>
    </xf>
    <xf numFmtId="193" fontId="31" fillId="0" borderId="14" xfId="62" applyNumberFormat="1" applyFont="1" applyFill="1" applyBorder="1" applyAlignment="1">
      <alignment horizontal="right" vertical="center"/>
      <protection/>
    </xf>
    <xf numFmtId="0" fontId="7" fillId="0" borderId="19" xfId="0" applyFont="1" applyFill="1" applyBorder="1" applyAlignment="1">
      <alignment horizontal="center" vertical="center" wrapText="1"/>
    </xf>
    <xf numFmtId="0" fontId="7" fillId="0" borderId="19" xfId="0" applyFont="1" applyBorder="1" applyAlignment="1">
      <alignment vertical="center" wrapText="1"/>
    </xf>
    <xf numFmtId="3" fontId="7" fillId="0" borderId="19" xfId="62" applyNumberFormat="1" applyFont="1" applyFill="1" applyBorder="1" applyAlignment="1">
      <alignment vertical="center" wrapText="1"/>
      <protection/>
    </xf>
    <xf numFmtId="188" fontId="7" fillId="0" borderId="19" xfId="62" applyNumberFormat="1" applyFont="1" applyFill="1" applyBorder="1" applyAlignment="1">
      <alignment vertical="center" wrapText="1"/>
      <protection/>
    </xf>
    <xf numFmtId="0" fontId="7" fillId="0" borderId="14" xfId="0" applyFont="1" applyBorder="1" applyAlignment="1">
      <alignment vertical="center" wrapText="1"/>
    </xf>
    <xf numFmtId="0" fontId="7" fillId="0" borderId="18" xfId="0" applyFont="1" applyFill="1" applyBorder="1" applyAlignment="1">
      <alignment horizontal="center" vertical="center" wrapText="1"/>
    </xf>
    <xf numFmtId="1" fontId="31" fillId="0" borderId="14" xfId="62" applyNumberFormat="1" applyFont="1" applyFill="1" applyBorder="1" applyAlignment="1">
      <alignment horizontal="right" vertical="center"/>
      <protection/>
    </xf>
    <xf numFmtId="1" fontId="7" fillId="0" borderId="19" xfId="62" applyNumberFormat="1" applyFont="1" applyFill="1" applyBorder="1" applyAlignment="1">
      <alignment horizontal="center" vertical="center"/>
      <protection/>
    </xf>
    <xf numFmtId="1" fontId="7" fillId="0" borderId="19" xfId="62" applyNumberFormat="1" applyFont="1" applyFill="1" applyBorder="1" applyAlignment="1">
      <alignment vertical="center"/>
      <protection/>
    </xf>
    <xf numFmtId="0" fontId="7" fillId="0" borderId="14" xfId="0" applyFont="1" applyFill="1" applyBorder="1" applyAlignment="1">
      <alignment vertical="center" wrapText="1"/>
    </xf>
    <xf numFmtId="203" fontId="31" fillId="0" borderId="14" xfId="42" applyNumberFormat="1" applyFont="1" applyFill="1" applyBorder="1" applyAlignment="1">
      <alignment horizontal="right" vertical="center"/>
    </xf>
    <xf numFmtId="0" fontId="7" fillId="0" borderId="18" xfId="0" applyFont="1" applyBorder="1" applyAlignment="1">
      <alignment vertical="center" wrapText="1"/>
    </xf>
    <xf numFmtId="203" fontId="31" fillId="0" borderId="15" xfId="42" applyNumberFormat="1" applyFont="1" applyFill="1" applyBorder="1" applyAlignment="1">
      <alignment horizontal="right" vertical="center"/>
    </xf>
    <xf numFmtId="1" fontId="7" fillId="0" borderId="18" xfId="62" applyNumberFormat="1" applyFont="1" applyFill="1" applyBorder="1" applyAlignment="1">
      <alignment horizontal="right" vertical="center"/>
      <protection/>
    </xf>
    <xf numFmtId="1" fontId="16" fillId="0" borderId="18" xfId="62" applyNumberFormat="1" applyFont="1" applyFill="1" applyBorder="1" applyAlignment="1">
      <alignment horizontal="right" vertical="center"/>
      <protection/>
    </xf>
    <xf numFmtId="193" fontId="7" fillId="0" borderId="18" xfId="62" applyNumberFormat="1" applyFont="1" applyFill="1" applyBorder="1" applyAlignment="1">
      <alignment vertical="center"/>
      <protection/>
    </xf>
    <xf numFmtId="193" fontId="7" fillId="0" borderId="15" xfId="62" applyNumberFormat="1" applyFont="1" applyFill="1" applyBorder="1" applyAlignment="1">
      <alignment horizontal="right" vertical="center"/>
      <protection/>
    </xf>
    <xf numFmtId="203" fontId="7" fillId="0" borderId="15" xfId="42" applyNumberFormat="1" applyFont="1" applyFill="1" applyBorder="1" applyAlignment="1">
      <alignment horizontal="right" vertical="center"/>
    </xf>
    <xf numFmtId="1" fontId="7" fillId="0" borderId="0" xfId="62" applyNumberFormat="1" applyFont="1" applyFill="1" applyAlignment="1">
      <alignment horizontal="center" vertical="center"/>
      <protection/>
    </xf>
    <xf numFmtId="1" fontId="7" fillId="0" borderId="0" xfId="62" applyNumberFormat="1" applyFont="1" applyFill="1" applyAlignment="1">
      <alignment vertical="center" wrapText="1"/>
      <protection/>
    </xf>
    <xf numFmtId="1" fontId="7" fillId="0" borderId="0" xfId="62" applyNumberFormat="1" applyFont="1" applyFill="1" applyAlignment="1">
      <alignment horizontal="center" vertical="center" wrapText="1"/>
      <protection/>
    </xf>
    <xf numFmtId="1" fontId="16" fillId="0" borderId="0" xfId="62" applyNumberFormat="1" applyFont="1" applyFill="1" applyAlignment="1">
      <alignment horizontal="right" vertical="center"/>
      <protection/>
    </xf>
    <xf numFmtId="1" fontId="7" fillId="0" borderId="0" xfId="62" applyNumberFormat="1" applyFont="1" applyFill="1" applyBorder="1" applyAlignment="1">
      <alignment vertical="center"/>
      <protection/>
    </xf>
    <xf numFmtId="1" fontId="7" fillId="0" borderId="0" xfId="62" applyNumberFormat="1" applyFont="1" applyFill="1" applyBorder="1" applyAlignment="1">
      <alignment horizontal="center" vertical="center"/>
      <protection/>
    </xf>
    <xf numFmtId="193" fontId="7" fillId="0" borderId="0" xfId="62" applyNumberFormat="1" applyFont="1" applyFill="1" applyAlignment="1">
      <alignment horizontal="right" vertical="center"/>
      <protection/>
    </xf>
    <xf numFmtId="1" fontId="15" fillId="0" borderId="0" xfId="62" applyNumberFormat="1" applyFont="1" applyFill="1" applyAlignment="1">
      <alignment horizontal="center" vertical="center"/>
      <protection/>
    </xf>
    <xf numFmtId="1" fontId="15" fillId="0" borderId="0" xfId="62" applyNumberFormat="1" applyFont="1" applyFill="1" applyAlignment="1">
      <alignment vertical="center" wrapText="1"/>
      <protection/>
    </xf>
    <xf numFmtId="1" fontId="15" fillId="0" borderId="0" xfId="62" applyNumberFormat="1" applyFont="1" applyFill="1" applyAlignment="1">
      <alignment horizontal="center" vertical="center" wrapText="1"/>
      <protection/>
    </xf>
    <xf numFmtId="1" fontId="15" fillId="0" borderId="0" xfId="62" applyNumberFormat="1" applyFont="1" applyFill="1" applyAlignment="1">
      <alignment horizontal="right" vertical="center"/>
      <protection/>
    </xf>
    <xf numFmtId="1" fontId="32" fillId="0" borderId="0" xfId="62" applyNumberFormat="1" applyFont="1" applyFill="1" applyAlignment="1">
      <alignment horizontal="right" vertical="center"/>
      <protection/>
    </xf>
    <xf numFmtId="1" fontId="15" fillId="34" borderId="0" xfId="62" applyNumberFormat="1" applyFont="1" applyFill="1" applyAlignment="1">
      <alignment horizontal="right" vertical="center"/>
      <protection/>
    </xf>
    <xf numFmtId="1" fontId="17" fillId="0" borderId="14" xfId="62" applyNumberFormat="1" applyFont="1" applyFill="1" applyBorder="1" applyAlignment="1">
      <alignment horizontal="center" vertical="center" wrapText="1"/>
      <protection/>
    </xf>
    <xf numFmtId="1" fontId="17" fillId="0" borderId="14" xfId="62" applyNumberFormat="1" applyFont="1" applyFill="1" applyBorder="1" applyAlignment="1">
      <alignment horizontal="center" vertical="center"/>
      <protection/>
    </xf>
    <xf numFmtId="0" fontId="18" fillId="0" borderId="14" xfId="0" applyFont="1" applyBorder="1" applyAlignment="1">
      <alignment horizontal="center" vertical="center" wrapText="1"/>
    </xf>
    <xf numFmtId="0" fontId="17" fillId="0" borderId="14" xfId="0" applyFont="1" applyFill="1" applyBorder="1" applyAlignment="1">
      <alignment vertical="center" wrapText="1"/>
    </xf>
    <xf numFmtId="4" fontId="18" fillId="0" borderId="14" xfId="0" applyNumberFormat="1" applyFont="1" applyFill="1" applyBorder="1" applyAlignment="1">
      <alignment horizontal="center" vertical="center" wrapText="1"/>
    </xf>
    <xf numFmtId="0" fontId="17" fillId="0" borderId="14" xfId="0" applyFont="1" applyBorder="1" applyAlignment="1">
      <alignment horizontal="left" vertical="center" wrapText="1"/>
    </xf>
    <xf numFmtId="0" fontId="17" fillId="0" borderId="14" xfId="0" applyFont="1" applyBorder="1" applyAlignment="1">
      <alignment horizontal="center" vertical="center"/>
    </xf>
    <xf numFmtId="0" fontId="18" fillId="0" borderId="14" xfId="0" applyFont="1" applyFill="1" applyBorder="1" applyAlignment="1">
      <alignment horizontal="center" vertical="center" wrapText="1"/>
    </xf>
    <xf numFmtId="1" fontId="17" fillId="33" borderId="0" xfId="62" applyNumberFormat="1" applyFont="1" applyFill="1" applyBorder="1" applyAlignment="1">
      <alignment vertical="center"/>
      <protection/>
    </xf>
    <xf numFmtId="1" fontId="17" fillId="33" borderId="0" xfId="62" applyNumberFormat="1" applyFont="1" applyFill="1" applyAlignment="1">
      <alignment vertical="center"/>
      <protection/>
    </xf>
    <xf numFmtId="1" fontId="17" fillId="0" borderId="0" xfId="62" applyNumberFormat="1" applyFont="1" applyFill="1" applyAlignment="1">
      <alignment vertical="center"/>
      <protection/>
    </xf>
    <xf numFmtId="0" fontId="17" fillId="0" borderId="14" xfId="0" applyFont="1" applyFill="1" applyBorder="1" applyAlignment="1">
      <alignment horizontal="center" vertical="center" wrapText="1"/>
    </xf>
    <xf numFmtId="0" fontId="17" fillId="0" borderId="14" xfId="0" applyFont="1" applyFill="1" applyBorder="1" applyAlignment="1">
      <alignment horizontal="left" vertical="center" wrapText="1"/>
    </xf>
    <xf numFmtId="3" fontId="17" fillId="0" borderId="14" xfId="0" applyNumberFormat="1" applyFont="1" applyFill="1" applyBorder="1" applyAlignment="1">
      <alignment horizontal="center" vertical="center" wrapText="1"/>
    </xf>
    <xf numFmtId="4" fontId="17" fillId="0" borderId="14" xfId="0" applyNumberFormat="1" applyFont="1" applyFill="1" applyBorder="1" applyAlignment="1">
      <alignment horizontal="center" vertical="center" wrapText="1"/>
    </xf>
    <xf numFmtId="2" fontId="17" fillId="0" borderId="14" xfId="62" applyNumberFormat="1" applyFont="1" applyFill="1" applyBorder="1" applyAlignment="1">
      <alignment horizontal="right" vertical="center"/>
      <protection/>
    </xf>
    <xf numFmtId="0" fontId="17" fillId="0" borderId="14" xfId="0" applyFont="1" applyFill="1" applyBorder="1" applyAlignment="1">
      <alignment horizontal="center"/>
    </xf>
    <xf numFmtId="1" fontId="17" fillId="0" borderId="14" xfId="62" applyNumberFormat="1" applyFont="1" applyFill="1" applyBorder="1" applyAlignment="1">
      <alignment horizontal="right" vertical="center"/>
      <protection/>
    </xf>
    <xf numFmtId="191" fontId="17" fillId="0" borderId="14" xfId="42" applyNumberFormat="1" applyFont="1" applyFill="1" applyBorder="1" applyAlignment="1">
      <alignment horizontal="right" vertical="center"/>
    </xf>
    <xf numFmtId="3" fontId="17" fillId="0" borderId="14" xfId="62" applyNumberFormat="1" applyFont="1" applyFill="1" applyBorder="1" applyAlignment="1">
      <alignment horizontal="center" vertical="center" wrapText="1"/>
      <protection/>
    </xf>
    <xf numFmtId="190" fontId="17" fillId="0" borderId="14" xfId="62" applyNumberFormat="1" applyFont="1" applyFill="1" applyBorder="1" applyAlignment="1">
      <alignment horizontal="right" vertical="center"/>
      <protection/>
    </xf>
    <xf numFmtId="4" fontId="17" fillId="0" borderId="14" xfId="62" applyNumberFormat="1" applyFont="1" applyFill="1" applyBorder="1" applyAlignment="1">
      <alignment horizontal="center" vertical="center" wrapText="1"/>
      <protection/>
    </xf>
    <xf numFmtId="188" fontId="17" fillId="0" borderId="14" xfId="0" applyNumberFormat="1" applyFont="1" applyFill="1" applyBorder="1" applyAlignment="1">
      <alignment horizontal="center" vertical="center" wrapText="1"/>
    </xf>
    <xf numFmtId="3" fontId="7" fillId="0" borderId="14" xfId="62" applyNumberFormat="1" applyFont="1" applyFill="1" applyBorder="1" applyAlignment="1">
      <alignment horizontal="center" vertical="center" wrapText="1"/>
      <protection/>
    </xf>
    <xf numFmtId="3" fontId="7" fillId="0" borderId="15" xfId="62" applyNumberFormat="1" applyFont="1" applyFill="1" applyBorder="1" applyAlignment="1">
      <alignment horizontal="center" vertical="center" wrapText="1"/>
      <protection/>
    </xf>
    <xf numFmtId="3" fontId="7" fillId="0" borderId="18" xfId="62" applyNumberFormat="1" applyFont="1" applyFill="1" applyBorder="1" applyAlignment="1">
      <alignment horizontal="center" vertical="center" wrapText="1"/>
      <protection/>
    </xf>
    <xf numFmtId="193" fontId="7" fillId="0" borderId="19" xfId="62" applyNumberFormat="1" applyFont="1" applyFill="1" applyBorder="1" applyAlignment="1">
      <alignment horizontal="right" vertical="center"/>
      <protection/>
    </xf>
    <xf numFmtId="1" fontId="7" fillId="0" borderId="19" xfId="62" applyNumberFormat="1" applyFont="1" applyFill="1" applyBorder="1" applyAlignment="1">
      <alignment horizontal="right" vertical="center"/>
      <protection/>
    </xf>
    <xf numFmtId="191" fontId="7" fillId="0" borderId="19" xfId="42" applyNumberFormat="1" applyFont="1" applyFill="1" applyBorder="1" applyAlignment="1">
      <alignment horizontal="right" vertical="center"/>
    </xf>
    <xf numFmtId="43" fontId="7" fillId="0" borderId="19" xfId="42" applyFont="1" applyFill="1" applyBorder="1" applyAlignment="1">
      <alignment horizontal="right" vertical="center"/>
    </xf>
    <xf numFmtId="189" fontId="7" fillId="0" borderId="19" xfId="42" applyNumberFormat="1" applyFont="1" applyFill="1" applyBorder="1" applyAlignment="1">
      <alignment horizontal="right" vertical="center"/>
    </xf>
    <xf numFmtId="43" fontId="7" fillId="0" borderId="19" xfId="42" applyFont="1" applyFill="1" applyBorder="1" applyAlignment="1">
      <alignment vertical="center"/>
    </xf>
    <xf numFmtId="3" fontId="7" fillId="0" borderId="19" xfId="62" applyNumberFormat="1" applyFont="1" applyFill="1" applyBorder="1" applyAlignment="1">
      <alignment horizontal="center" vertical="center" wrapText="1"/>
      <protection/>
    </xf>
    <xf numFmtId="1" fontId="17" fillId="33" borderId="14" xfId="62" applyNumberFormat="1" applyFont="1" applyFill="1" applyBorder="1" applyAlignment="1">
      <alignment vertical="center"/>
      <protection/>
    </xf>
    <xf numFmtId="2" fontId="17" fillId="33" borderId="14" xfId="62" applyNumberFormat="1" applyFont="1" applyFill="1" applyBorder="1" applyAlignment="1">
      <alignment horizontal="center" vertical="center"/>
      <protection/>
    </xf>
    <xf numFmtId="1" fontId="17" fillId="33" borderId="14" xfId="62" applyNumberFormat="1" applyFont="1" applyFill="1" applyBorder="1" applyAlignment="1">
      <alignment horizontal="center" vertical="center"/>
      <protection/>
    </xf>
    <xf numFmtId="191" fontId="17" fillId="0" borderId="14" xfId="42" applyNumberFormat="1" applyFont="1" applyFill="1" applyBorder="1" applyAlignment="1">
      <alignment horizontal="center" vertical="center"/>
    </xf>
    <xf numFmtId="189" fontId="17" fillId="0" borderId="14" xfId="42" applyNumberFormat="1" applyFont="1" applyFill="1" applyBorder="1" applyAlignment="1">
      <alignment horizontal="center" vertical="center"/>
    </xf>
    <xf numFmtId="43" fontId="17" fillId="0" borderId="14" xfId="42" applyNumberFormat="1" applyFont="1" applyFill="1" applyBorder="1" applyAlignment="1">
      <alignment horizontal="center" vertical="center"/>
    </xf>
    <xf numFmtId="2" fontId="14" fillId="0" borderId="0" xfId="62" applyNumberFormat="1" applyFont="1" applyFill="1" applyBorder="1" applyAlignment="1">
      <alignment vertical="center"/>
      <protection/>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189" fontId="1" fillId="0" borderId="0" xfId="42" applyNumberFormat="1" applyFont="1" applyFill="1" applyBorder="1" applyAlignment="1">
      <alignment horizontal="center" vertical="center"/>
    </xf>
    <xf numFmtId="188" fontId="1" fillId="0" borderId="0" xfId="42" applyNumberFormat="1" applyFont="1" applyFill="1" applyBorder="1" applyAlignment="1">
      <alignment horizontal="right" vertical="center"/>
    </xf>
    <xf numFmtId="3" fontId="1" fillId="0" borderId="0" xfId="42" applyNumberFormat="1" applyFont="1" applyFill="1" applyBorder="1" applyAlignment="1">
      <alignment horizontal="right" vertical="center"/>
    </xf>
    <xf numFmtId="0" fontId="1" fillId="0" borderId="0" xfId="0" applyFont="1" applyFill="1" applyBorder="1" applyAlignment="1">
      <alignment vertical="center"/>
    </xf>
    <xf numFmtId="3" fontId="19" fillId="0" borderId="12" xfId="62" applyNumberFormat="1" applyFont="1" applyFill="1" applyBorder="1" applyAlignment="1">
      <alignment horizontal="center" vertical="center" wrapText="1"/>
      <protection/>
    </xf>
    <xf numFmtId="3" fontId="19" fillId="0" borderId="20" xfId="62" applyNumberFormat="1" applyFont="1" applyFill="1" applyBorder="1" applyAlignment="1">
      <alignment horizontal="center" vertical="center" wrapText="1"/>
      <protection/>
    </xf>
    <xf numFmtId="3" fontId="19" fillId="0" borderId="20" xfId="62" applyNumberFormat="1" applyFont="1" applyFill="1" applyBorder="1" applyAlignment="1">
      <alignment vertical="center" wrapText="1"/>
      <protection/>
    </xf>
    <xf numFmtId="0" fontId="19" fillId="0" borderId="13" xfId="0" applyFont="1" applyBorder="1" applyAlignment="1">
      <alignment horizontal="center" vertical="center" textRotation="90" wrapText="1"/>
    </xf>
    <xf numFmtId="0" fontId="19" fillId="0" borderId="13" xfId="0" applyFont="1" applyBorder="1" applyAlignment="1">
      <alignment horizontal="center" vertical="center" wrapText="1"/>
    </xf>
    <xf numFmtId="3" fontId="17" fillId="0" borderId="13" xfId="62" applyNumberFormat="1" applyFont="1" applyBorder="1" applyAlignment="1">
      <alignment horizontal="center" vertical="center" wrapText="1"/>
      <protection/>
    </xf>
    <xf numFmtId="4" fontId="19" fillId="0" borderId="13" xfId="0" applyNumberFormat="1" applyFont="1" applyBorder="1" applyAlignment="1">
      <alignment horizontal="right" vertical="center"/>
    </xf>
    <xf numFmtId="3" fontId="19" fillId="0" borderId="13" xfId="0" applyNumberFormat="1" applyFont="1" applyBorder="1" applyAlignment="1">
      <alignment horizontal="right" vertical="center"/>
    </xf>
    <xf numFmtId="169" fontId="19" fillId="0" borderId="13" xfId="62" applyNumberFormat="1" applyFont="1" applyFill="1" applyBorder="1" applyAlignment="1">
      <alignment horizontal="center" vertical="center" wrapText="1"/>
      <protection/>
    </xf>
    <xf numFmtId="202" fontId="19" fillId="0" borderId="13" xfId="0" applyNumberFormat="1" applyFont="1" applyFill="1" applyBorder="1" applyAlignment="1">
      <alignment horizontal="right" vertical="center"/>
    </xf>
    <xf numFmtId="4" fontId="19" fillId="0" borderId="13" xfId="0" applyNumberFormat="1" applyFont="1" applyFill="1" applyBorder="1" applyAlignment="1">
      <alignment horizontal="right" vertical="center"/>
    </xf>
    <xf numFmtId="4" fontId="19" fillId="0" borderId="13" xfId="0" applyNumberFormat="1" applyFont="1" applyFill="1" applyBorder="1" applyAlignment="1">
      <alignment horizontal="center" vertical="center"/>
    </xf>
    <xf numFmtId="0" fontId="20" fillId="0"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19" fillId="0" borderId="14" xfId="62" applyNumberFormat="1" applyFont="1" applyFill="1" applyBorder="1" applyAlignment="1">
      <alignment horizontal="center" vertical="center" wrapText="1"/>
      <protection/>
    </xf>
    <xf numFmtId="4" fontId="19" fillId="0" borderId="14" xfId="0" applyNumberFormat="1" applyFont="1" applyFill="1" applyBorder="1" applyAlignment="1">
      <alignment horizontal="right" vertical="center"/>
    </xf>
    <xf numFmtId="0" fontId="18" fillId="0" borderId="14" xfId="0" applyFont="1" applyFill="1" applyBorder="1" applyAlignment="1">
      <alignment horizontal="left" vertical="center" wrapText="1"/>
    </xf>
    <xf numFmtId="3" fontId="17" fillId="0" borderId="14" xfId="62" applyNumberFormat="1" applyFont="1" applyBorder="1" applyAlignment="1">
      <alignment horizontal="center" vertical="center" wrapText="1"/>
      <protection/>
    </xf>
    <xf numFmtId="188" fontId="18" fillId="0" borderId="14" xfId="0" applyNumberFormat="1" applyFont="1" applyFill="1" applyBorder="1" applyAlignment="1">
      <alignment horizontal="right" vertical="center" wrapText="1"/>
    </xf>
    <xf numFmtId="3" fontId="18" fillId="0" borderId="14" xfId="0" applyNumberFormat="1" applyFont="1" applyFill="1" applyBorder="1" applyAlignment="1">
      <alignment horizontal="right" vertical="center" wrapText="1"/>
    </xf>
    <xf numFmtId="202" fontId="18" fillId="0" borderId="14" xfId="0" applyNumberFormat="1" applyFont="1" applyFill="1" applyBorder="1" applyAlignment="1">
      <alignment horizontal="right" vertical="center" wrapText="1"/>
    </xf>
    <xf numFmtId="3" fontId="18" fillId="0" borderId="14" xfId="0" applyNumberFormat="1" applyFont="1" applyFill="1" applyBorder="1" applyAlignment="1">
      <alignment horizontal="center" vertical="center" wrapText="1"/>
    </xf>
    <xf numFmtId="202" fontId="18" fillId="0" borderId="14" xfId="0" applyNumberFormat="1" applyFont="1" applyFill="1" applyBorder="1" applyAlignment="1">
      <alignment horizontal="center" vertical="center" wrapText="1"/>
    </xf>
    <xf numFmtId="169" fontId="17" fillId="0" borderId="14" xfId="62" applyNumberFormat="1" applyFont="1" applyFill="1" applyBorder="1" applyAlignment="1">
      <alignment horizontal="center" vertical="center" wrapText="1"/>
      <protection/>
    </xf>
    <xf numFmtId="203" fontId="17" fillId="0" borderId="14" xfId="42" applyNumberFormat="1" applyFont="1" applyFill="1" applyBorder="1" applyAlignment="1">
      <alignment horizontal="center" vertical="center" wrapText="1"/>
    </xf>
    <xf numFmtId="189" fontId="17" fillId="0" borderId="14" xfId="42" applyNumberFormat="1" applyFont="1" applyFill="1" applyBorder="1" applyAlignment="1">
      <alignment horizontal="center" vertical="center" wrapText="1"/>
    </xf>
    <xf numFmtId="193" fontId="17" fillId="0" borderId="14" xfId="62" applyNumberFormat="1" applyFont="1" applyFill="1" applyBorder="1" applyAlignment="1">
      <alignment horizontal="right" vertical="center"/>
      <protection/>
    </xf>
    <xf numFmtId="1" fontId="21" fillId="0" borderId="14" xfId="62" applyNumberFormat="1" applyFont="1" applyFill="1" applyBorder="1" applyAlignment="1">
      <alignment horizontal="right" vertical="center"/>
      <protection/>
    </xf>
    <xf numFmtId="203" fontId="17" fillId="0" borderId="14" xfId="42" applyNumberFormat="1" applyFont="1" applyFill="1" applyBorder="1" applyAlignment="1">
      <alignment horizontal="right" vertical="center"/>
    </xf>
    <xf numFmtId="200" fontId="17" fillId="0" borderId="14" xfId="62" applyNumberFormat="1" applyFont="1" applyFill="1" applyBorder="1" applyAlignment="1">
      <alignment horizontal="right" vertical="center"/>
      <protection/>
    </xf>
    <xf numFmtId="3" fontId="17" fillId="0" borderId="14" xfId="62" applyNumberFormat="1" applyFont="1" applyFill="1" applyBorder="1" applyAlignment="1">
      <alignment vertical="center" wrapText="1"/>
      <protection/>
    </xf>
    <xf numFmtId="188" fontId="17" fillId="0" borderId="14" xfId="62" applyNumberFormat="1" applyFont="1" applyFill="1" applyBorder="1" applyAlignment="1">
      <alignment vertical="center" wrapText="1"/>
      <protection/>
    </xf>
    <xf numFmtId="188" fontId="17" fillId="0" borderId="14" xfId="62" applyNumberFormat="1" applyFont="1" applyFill="1" applyBorder="1" applyAlignment="1">
      <alignment horizontal="center" vertical="center" wrapText="1"/>
      <protection/>
    </xf>
    <xf numFmtId="4" fontId="18" fillId="0" borderId="14" xfId="0" applyNumberFormat="1" applyFont="1" applyFill="1" applyBorder="1" applyAlignment="1">
      <alignment horizontal="right" vertical="center" wrapText="1"/>
    </xf>
    <xf numFmtId="204" fontId="17" fillId="0" borderId="14" xfId="62" applyNumberFormat="1" applyFont="1" applyFill="1" applyBorder="1" applyAlignment="1">
      <alignment horizontal="center" vertical="center" wrapText="1"/>
      <protection/>
    </xf>
    <xf numFmtId="203" fontId="17" fillId="0" borderId="14" xfId="42" applyNumberFormat="1" applyFont="1" applyFill="1" applyBorder="1" applyAlignment="1">
      <alignment vertical="center" wrapText="1"/>
    </xf>
    <xf numFmtId="43" fontId="18" fillId="0" borderId="14" xfId="42" applyFont="1" applyFill="1" applyBorder="1" applyAlignment="1">
      <alignment horizontal="right" vertical="center"/>
    </xf>
    <xf numFmtId="205" fontId="17" fillId="0" borderId="14" xfId="62" applyNumberFormat="1" applyFont="1" applyFill="1" applyBorder="1" applyAlignment="1">
      <alignment horizontal="center" vertical="center" wrapText="1"/>
      <protection/>
    </xf>
    <xf numFmtId="43" fontId="18" fillId="0" borderId="14" xfId="42" applyFont="1" applyFill="1" applyBorder="1" applyAlignment="1">
      <alignment horizontal="right" vertical="center" wrapText="1"/>
    </xf>
    <xf numFmtId="206" fontId="18" fillId="0" borderId="14" xfId="42" applyNumberFormat="1" applyFont="1" applyFill="1" applyBorder="1" applyAlignment="1">
      <alignment horizontal="right" vertical="center" wrapText="1"/>
    </xf>
    <xf numFmtId="3" fontId="17" fillId="0" borderId="14" xfId="62" applyNumberFormat="1" applyFont="1" applyFill="1" applyBorder="1" applyAlignment="1" quotePrefix="1">
      <alignment horizontal="center" vertical="center" wrapText="1"/>
      <protection/>
    </xf>
    <xf numFmtId="191" fontId="17" fillId="0" borderId="14" xfId="42" applyNumberFormat="1" applyFont="1" applyFill="1" applyBorder="1" applyAlignment="1" quotePrefix="1">
      <alignment horizontal="center" vertical="center" wrapText="1"/>
    </xf>
    <xf numFmtId="190" fontId="21" fillId="0" borderId="14" xfId="62" applyNumberFormat="1" applyFont="1" applyFill="1" applyBorder="1" applyAlignment="1">
      <alignment horizontal="right" vertical="center"/>
      <protection/>
    </xf>
    <xf numFmtId="0" fontId="18" fillId="0" borderId="14" xfId="0" applyFont="1" applyFill="1" applyBorder="1" applyAlignment="1">
      <alignment horizontal="right" vertical="center" wrapText="1"/>
    </xf>
    <xf numFmtId="193" fontId="21" fillId="0" borderId="14" xfId="62" applyNumberFormat="1" applyFont="1" applyFill="1" applyBorder="1" applyAlignment="1">
      <alignment horizontal="right" vertical="center"/>
      <protection/>
    </xf>
    <xf numFmtId="1" fontId="17" fillId="0" borderId="14" xfId="62" applyNumberFormat="1" applyFont="1" applyFill="1" applyBorder="1" applyAlignment="1">
      <alignment vertical="center"/>
      <protection/>
    </xf>
    <xf numFmtId="1" fontId="21" fillId="0" borderId="14" xfId="62" applyNumberFormat="1" applyFont="1" applyFill="1" applyBorder="1" applyAlignment="1">
      <alignment vertical="center" wrapText="1"/>
      <protection/>
    </xf>
    <xf numFmtId="43" fontId="18" fillId="0" borderId="14" xfId="42" applyNumberFormat="1" applyFont="1" applyFill="1" applyBorder="1" applyAlignment="1">
      <alignment horizontal="right" vertical="center" wrapText="1"/>
    </xf>
    <xf numFmtId="1" fontId="21" fillId="0" borderId="14" xfId="62" applyNumberFormat="1" applyFont="1" applyFill="1" applyBorder="1" applyAlignment="1">
      <alignment vertical="center"/>
      <protection/>
    </xf>
    <xf numFmtId="1" fontId="21" fillId="0" borderId="14" xfId="62" applyNumberFormat="1" applyFont="1" applyFill="1" applyBorder="1" applyAlignment="1">
      <alignment horizontal="center" vertical="center" wrapText="1"/>
      <protection/>
    </xf>
    <xf numFmtId="190" fontId="18" fillId="0" borderId="14" xfId="0" applyNumberFormat="1" applyFont="1" applyFill="1" applyBorder="1" applyAlignment="1">
      <alignment horizontal="right" vertical="center" wrapText="1"/>
    </xf>
    <xf numFmtId="0" fontId="17" fillId="0" borderId="14" xfId="0" applyFont="1" applyFill="1" applyBorder="1" applyAlignment="1">
      <alignment horizontal="right" vertical="center" wrapText="1"/>
    </xf>
    <xf numFmtId="43" fontId="17" fillId="0" borderId="14" xfId="42" applyFont="1" applyFill="1" applyBorder="1" applyAlignment="1">
      <alignment horizontal="right" vertical="center" wrapText="1"/>
    </xf>
    <xf numFmtId="190" fontId="17" fillId="0" borderId="14" xfId="0" applyNumberFormat="1" applyFont="1" applyFill="1" applyBorder="1" applyAlignment="1">
      <alignment horizontal="right" vertical="center" wrapText="1"/>
    </xf>
    <xf numFmtId="203" fontId="18" fillId="0" borderId="14" xfId="42" applyNumberFormat="1" applyFont="1" applyFill="1" applyBorder="1" applyAlignment="1">
      <alignment horizontal="right" vertical="center" wrapText="1"/>
    </xf>
    <xf numFmtId="171" fontId="18" fillId="0" borderId="14" xfId="0" applyNumberFormat="1" applyFont="1" applyFill="1" applyBorder="1" applyAlignment="1">
      <alignment horizontal="right" vertical="center" wrapText="1"/>
    </xf>
    <xf numFmtId="193" fontId="17" fillId="0" borderId="14" xfId="42" applyNumberFormat="1" applyFont="1" applyFill="1" applyBorder="1" applyAlignment="1">
      <alignment horizontal="right" vertical="center"/>
    </xf>
    <xf numFmtId="43" fontId="17" fillId="0" borderId="14" xfId="42" applyFont="1" applyFill="1" applyBorder="1" applyAlignment="1">
      <alignment horizontal="center" vertical="center" wrapText="1"/>
    </xf>
    <xf numFmtId="203" fontId="17" fillId="0" borderId="14" xfId="62" applyNumberFormat="1" applyFont="1" applyFill="1" applyBorder="1" applyAlignment="1">
      <alignment horizontal="center" vertical="center" wrapText="1"/>
      <protection/>
    </xf>
    <xf numFmtId="3" fontId="17" fillId="0" borderId="14" xfId="0" applyNumberFormat="1" applyFont="1" applyFill="1" applyBorder="1" applyAlignment="1">
      <alignment horizontal="right" vertical="center" wrapText="1"/>
    </xf>
    <xf numFmtId="191" fontId="18" fillId="0" borderId="14" xfId="42" applyNumberFormat="1" applyFont="1" applyFill="1" applyBorder="1" applyAlignment="1">
      <alignment horizontal="right" vertical="center"/>
    </xf>
    <xf numFmtId="43" fontId="17" fillId="0" borderId="14" xfId="42" applyFont="1" applyFill="1" applyBorder="1" applyAlignment="1">
      <alignment vertical="center"/>
    </xf>
    <xf numFmtId="43" fontId="17" fillId="0" borderId="14" xfId="42" applyNumberFormat="1" applyFont="1" applyFill="1" applyBorder="1" applyAlignment="1">
      <alignment vertical="center"/>
    </xf>
    <xf numFmtId="193" fontId="17" fillId="0" borderId="14" xfId="62" applyNumberFormat="1" applyFont="1" applyFill="1" applyBorder="1" applyAlignment="1">
      <alignment vertical="center"/>
      <protection/>
    </xf>
    <xf numFmtId="193" fontId="17" fillId="0" borderId="14" xfId="62" applyNumberFormat="1" applyFont="1" applyFill="1" applyBorder="1" applyAlignment="1">
      <alignment horizontal="center" vertical="center"/>
      <protection/>
    </xf>
    <xf numFmtId="203" fontId="17" fillId="0" borderId="14" xfId="42" applyNumberFormat="1" applyFont="1" applyFill="1" applyBorder="1" applyAlignment="1">
      <alignment vertical="center"/>
    </xf>
    <xf numFmtId="0" fontId="18" fillId="0" borderId="14" xfId="0" applyFont="1" applyFill="1" applyBorder="1" applyAlignment="1" quotePrefix="1">
      <alignment horizontal="center" vertical="center" wrapText="1"/>
    </xf>
    <xf numFmtId="2" fontId="17" fillId="0" borderId="14" xfId="62" applyNumberFormat="1" applyFont="1" applyFill="1" applyBorder="1" applyAlignment="1">
      <alignment vertical="center"/>
      <protection/>
    </xf>
    <xf numFmtId="4" fontId="17" fillId="0" borderId="14" xfId="62" applyNumberFormat="1" applyFont="1" applyFill="1" applyBorder="1" applyAlignment="1">
      <alignment vertical="center" wrapText="1"/>
      <protection/>
    </xf>
    <xf numFmtId="4" fontId="17" fillId="0" borderId="14" xfId="0" applyNumberFormat="1" applyFont="1" applyFill="1" applyBorder="1" applyAlignment="1">
      <alignment horizontal="right" vertical="center" wrapText="1"/>
    </xf>
    <xf numFmtId="188" fontId="17" fillId="0" borderId="14" xfId="0" applyNumberFormat="1" applyFont="1" applyFill="1" applyBorder="1" applyAlignment="1">
      <alignment horizontal="right" vertical="center" wrapText="1"/>
    </xf>
    <xf numFmtId="202" fontId="17" fillId="0" borderId="14" xfId="0" applyNumberFormat="1" applyFont="1" applyFill="1" applyBorder="1" applyAlignment="1">
      <alignment horizontal="right" vertical="center" wrapText="1"/>
    </xf>
    <xf numFmtId="0" fontId="17" fillId="0" borderId="14" xfId="0" applyFont="1" applyFill="1" applyBorder="1" applyAlignment="1" quotePrefix="1">
      <alignment horizontal="center" vertical="center" wrapText="1"/>
    </xf>
    <xf numFmtId="43" fontId="17" fillId="0" borderId="14" xfId="42" applyFont="1" applyFill="1" applyBorder="1" applyAlignment="1">
      <alignment horizontal="right" vertical="center"/>
    </xf>
    <xf numFmtId="191" fontId="18" fillId="0" borderId="14" xfId="42" applyNumberFormat="1" applyFont="1" applyFill="1" applyBorder="1" applyAlignment="1">
      <alignment horizontal="right" vertical="center" wrapText="1"/>
    </xf>
    <xf numFmtId="0" fontId="17" fillId="0" borderId="14" xfId="0" applyFont="1" applyFill="1" applyBorder="1" applyAlignment="1">
      <alignment vertical="center"/>
    </xf>
    <xf numFmtId="0" fontId="17" fillId="0" borderId="14" xfId="0" applyFont="1" applyBorder="1" applyAlignment="1">
      <alignment vertical="center"/>
    </xf>
    <xf numFmtId="1" fontId="17" fillId="0" borderId="15" xfId="62" applyNumberFormat="1" applyFont="1" applyFill="1" applyBorder="1" applyAlignment="1">
      <alignment horizontal="center" vertical="center"/>
      <protection/>
    </xf>
    <xf numFmtId="1" fontId="17" fillId="0" borderId="15" xfId="62" applyNumberFormat="1" applyFont="1" applyFill="1" applyBorder="1" applyAlignment="1">
      <alignment vertical="center" wrapText="1"/>
      <protection/>
    </xf>
    <xf numFmtId="1" fontId="17" fillId="0" borderId="15" xfId="62" applyNumberFormat="1" applyFont="1" applyFill="1" applyBorder="1" applyAlignment="1">
      <alignment horizontal="center" vertical="center" wrapText="1"/>
      <protection/>
    </xf>
    <xf numFmtId="189" fontId="17" fillId="0" borderId="15" xfId="42" applyNumberFormat="1" applyFont="1" applyFill="1" applyBorder="1" applyAlignment="1">
      <alignment horizontal="right" vertical="center"/>
    </xf>
    <xf numFmtId="191" fontId="17" fillId="0" borderId="15" xfId="42" applyNumberFormat="1" applyFont="1" applyFill="1" applyBorder="1" applyAlignment="1">
      <alignment horizontal="right" vertical="center"/>
    </xf>
    <xf numFmtId="43" fontId="17" fillId="0" borderId="15" xfId="42" applyNumberFormat="1" applyFont="1" applyFill="1" applyBorder="1" applyAlignment="1">
      <alignment horizontal="right" vertical="center"/>
    </xf>
    <xf numFmtId="4" fontId="17" fillId="0" borderId="15" xfId="42" applyNumberFormat="1" applyFont="1" applyFill="1" applyBorder="1" applyAlignment="1">
      <alignment horizontal="right" vertical="center"/>
    </xf>
    <xf numFmtId="1" fontId="17" fillId="0" borderId="19" xfId="62" applyNumberFormat="1" applyFont="1" applyFill="1" applyBorder="1" applyAlignment="1" quotePrefix="1">
      <alignment horizontal="center" vertical="center"/>
      <protection/>
    </xf>
    <xf numFmtId="1" fontId="17" fillId="0" borderId="19" xfId="62" applyNumberFormat="1" applyFont="1" applyFill="1" applyBorder="1" applyAlignment="1">
      <alignment vertical="center" wrapText="1"/>
      <protection/>
    </xf>
    <xf numFmtId="1" fontId="17" fillId="0" borderId="19" xfId="62" applyNumberFormat="1" applyFont="1" applyFill="1" applyBorder="1" applyAlignment="1">
      <alignment horizontal="center" vertical="center" wrapText="1"/>
      <protection/>
    </xf>
    <xf numFmtId="43" fontId="17" fillId="0" borderId="19" xfId="42" applyFont="1" applyFill="1" applyBorder="1" applyAlignment="1">
      <alignment horizontal="right" vertical="center"/>
    </xf>
    <xf numFmtId="1" fontId="17" fillId="0" borderId="19" xfId="62" applyNumberFormat="1" applyFont="1" applyFill="1" applyBorder="1" applyAlignment="1">
      <alignment horizontal="center" vertical="center"/>
      <protection/>
    </xf>
    <xf numFmtId="3" fontId="18" fillId="0" borderId="19" xfId="0" applyNumberFormat="1" applyFont="1" applyBorder="1" applyAlignment="1">
      <alignment vertical="top"/>
    </xf>
    <xf numFmtId="1" fontId="17" fillId="0" borderId="19" xfId="62" applyNumberFormat="1" applyFont="1" applyFill="1" applyBorder="1" applyAlignment="1">
      <alignment horizontal="right" vertical="center"/>
      <protection/>
    </xf>
    <xf numFmtId="1" fontId="21" fillId="0" borderId="19" xfId="62" applyNumberFormat="1" applyFont="1" applyFill="1" applyBorder="1" applyAlignment="1">
      <alignment horizontal="right" vertical="center"/>
      <protection/>
    </xf>
    <xf numFmtId="1" fontId="17" fillId="0" borderId="19" xfId="62" applyNumberFormat="1" applyFont="1" applyFill="1" applyBorder="1" applyAlignment="1">
      <alignment vertical="center"/>
      <protection/>
    </xf>
    <xf numFmtId="3" fontId="17" fillId="0" borderId="19" xfId="62" applyNumberFormat="1" applyFont="1" applyFill="1" applyBorder="1" applyAlignment="1">
      <alignment vertical="center" wrapText="1"/>
      <protection/>
    </xf>
    <xf numFmtId="4" fontId="17" fillId="0" borderId="19" xfId="62" applyNumberFormat="1" applyFont="1" applyFill="1" applyBorder="1" applyAlignment="1">
      <alignment vertical="center" wrapText="1"/>
      <protection/>
    </xf>
    <xf numFmtId="1" fontId="17" fillId="0" borderId="14" xfId="62" applyNumberFormat="1" applyFont="1" applyFill="1" applyBorder="1" applyAlignment="1" quotePrefix="1">
      <alignment horizontal="center" vertical="center"/>
      <protection/>
    </xf>
    <xf numFmtId="1" fontId="17" fillId="0" borderId="14" xfId="62" applyNumberFormat="1" applyFont="1" applyFill="1" applyBorder="1" applyAlignment="1">
      <alignment vertical="center" wrapText="1"/>
      <protection/>
    </xf>
    <xf numFmtId="3" fontId="18" fillId="0" borderId="14" xfId="0" applyNumberFormat="1" applyFont="1" applyBorder="1" applyAlignment="1">
      <alignment vertical="top"/>
    </xf>
    <xf numFmtId="43" fontId="17" fillId="0" borderId="14" xfId="42" applyNumberFormat="1" applyFont="1" applyFill="1" applyBorder="1" applyAlignment="1">
      <alignment horizontal="right" vertical="center"/>
    </xf>
    <xf numFmtId="189" fontId="17" fillId="0" borderId="14" xfId="42" applyNumberFormat="1" applyFont="1" applyFill="1" applyBorder="1" applyAlignment="1">
      <alignment horizontal="right" vertical="center"/>
    </xf>
    <xf numFmtId="4" fontId="17" fillId="0" borderId="14" xfId="42" applyNumberFormat="1" applyFont="1" applyFill="1" applyBorder="1" applyAlignment="1">
      <alignment horizontal="right" vertical="center"/>
    </xf>
    <xf numFmtId="2" fontId="17" fillId="0" borderId="14" xfId="42" applyNumberFormat="1" applyFont="1" applyFill="1" applyBorder="1" applyAlignment="1">
      <alignment horizontal="right" vertical="center"/>
    </xf>
    <xf numFmtId="202" fontId="18" fillId="0" borderId="14" xfId="0" applyNumberFormat="1" applyFont="1" applyBorder="1" applyAlignment="1">
      <alignment/>
    </xf>
    <xf numFmtId="4" fontId="18" fillId="0" borderId="14" xfId="0" applyNumberFormat="1" applyFont="1" applyBorder="1" applyAlignment="1">
      <alignment/>
    </xf>
    <xf numFmtId="2" fontId="17" fillId="0" borderId="14" xfId="62" applyNumberFormat="1" applyFont="1" applyFill="1" applyBorder="1" applyAlignment="1">
      <alignment horizontal="center" vertical="center"/>
      <protection/>
    </xf>
    <xf numFmtId="202" fontId="18" fillId="0" borderId="14" xfId="0" applyNumberFormat="1" applyFont="1" applyBorder="1" applyAlignment="1">
      <alignment vertical="top"/>
    </xf>
    <xf numFmtId="0" fontId="19" fillId="0" borderId="14" xfId="0" applyFont="1" applyFill="1" applyBorder="1" applyAlignment="1">
      <alignment horizontal="left" vertical="center" wrapText="1"/>
    </xf>
    <xf numFmtId="1" fontId="19" fillId="0" borderId="14" xfId="62" applyNumberFormat="1" applyFont="1" applyFill="1" applyBorder="1" applyAlignment="1">
      <alignment horizontal="center" vertical="center" wrapText="1"/>
      <protection/>
    </xf>
    <xf numFmtId="4" fontId="20" fillId="0" borderId="14" xfId="0" applyNumberFormat="1" applyFont="1" applyFill="1" applyBorder="1" applyAlignment="1">
      <alignment horizontal="right" vertical="center" wrapText="1"/>
    </xf>
    <xf numFmtId="169" fontId="19" fillId="0" borderId="14" xfId="62" applyNumberFormat="1" applyFont="1" applyFill="1" applyBorder="1" applyAlignment="1">
      <alignment horizontal="center" vertical="center" wrapText="1"/>
      <protection/>
    </xf>
    <xf numFmtId="4" fontId="20" fillId="0" borderId="14" xfId="0" applyNumberFormat="1" applyFont="1" applyFill="1" applyBorder="1" applyAlignment="1">
      <alignment horizontal="center" vertical="center" wrapText="1"/>
    </xf>
    <xf numFmtId="191" fontId="17" fillId="0" borderId="14" xfId="42" applyNumberFormat="1" applyFont="1" applyFill="1" applyBorder="1" applyAlignment="1">
      <alignment horizontal="left" vertical="center" wrapText="1"/>
    </xf>
    <xf numFmtId="2" fontId="21" fillId="0" borderId="14" xfId="62" applyNumberFormat="1" applyFont="1" applyFill="1" applyBorder="1" applyAlignment="1">
      <alignment horizontal="right" vertical="center"/>
      <protection/>
    </xf>
    <xf numFmtId="203" fontId="18" fillId="0" borderId="14" xfId="42" applyNumberFormat="1" applyFont="1" applyFill="1" applyBorder="1" applyAlignment="1">
      <alignment horizontal="center" vertical="center" wrapText="1"/>
    </xf>
    <xf numFmtId="2" fontId="18" fillId="0" borderId="14" xfId="62" applyNumberFormat="1" applyFont="1" applyFill="1" applyBorder="1" applyAlignment="1">
      <alignment horizontal="right" vertical="center"/>
      <protection/>
    </xf>
    <xf numFmtId="207" fontId="17" fillId="0" borderId="14" xfId="62" applyNumberFormat="1" applyFont="1" applyFill="1" applyBorder="1" applyAlignment="1">
      <alignment horizontal="center" vertical="center" wrapText="1"/>
      <protection/>
    </xf>
    <xf numFmtId="193" fontId="18" fillId="0" borderId="14" xfId="62" applyNumberFormat="1" applyFont="1" applyFill="1" applyBorder="1" applyAlignment="1">
      <alignment horizontal="right" vertical="center"/>
      <protection/>
    </xf>
    <xf numFmtId="3" fontId="17" fillId="0" borderId="14" xfId="62" applyNumberFormat="1" applyFont="1" applyFill="1" applyBorder="1" applyAlignment="1">
      <alignment horizontal="right" vertical="center"/>
      <protection/>
    </xf>
    <xf numFmtId="208" fontId="17" fillId="0" borderId="14" xfId="42" applyNumberFormat="1" applyFont="1" applyBorder="1" applyAlignment="1">
      <alignment vertical="center"/>
    </xf>
    <xf numFmtId="188" fontId="17" fillId="0" borderId="14" xfId="62" applyNumberFormat="1" applyFont="1" applyFill="1" applyBorder="1" applyAlignment="1">
      <alignment horizontal="right" vertical="center"/>
      <protection/>
    </xf>
    <xf numFmtId="4" fontId="18" fillId="0" borderId="14" xfId="0" applyNumberFormat="1" applyFont="1" applyFill="1" applyBorder="1" applyAlignment="1">
      <alignment horizontal="right" vertical="center" wrapText="1"/>
    </xf>
    <xf numFmtId="3" fontId="17" fillId="0" borderId="14" xfId="0" applyNumberFormat="1" applyFont="1" applyFill="1" applyBorder="1" applyAlignment="1">
      <alignment vertical="center" wrapText="1"/>
    </xf>
    <xf numFmtId="169" fontId="18" fillId="0" borderId="14" xfId="0" applyNumberFormat="1" applyFont="1" applyFill="1" applyBorder="1" applyAlignment="1">
      <alignment horizontal="right" vertical="center" wrapText="1"/>
    </xf>
    <xf numFmtId="207" fontId="18" fillId="0" borderId="14" xfId="0" applyNumberFormat="1" applyFont="1" applyFill="1" applyBorder="1" applyAlignment="1">
      <alignment horizontal="right" vertical="center" wrapText="1"/>
    </xf>
    <xf numFmtId="0" fontId="17" fillId="0" borderId="14" xfId="0" applyFont="1" applyBorder="1" applyAlignment="1">
      <alignment vertical="center" wrapText="1"/>
    </xf>
    <xf numFmtId="169" fontId="17" fillId="0" borderId="14" xfId="0" applyNumberFormat="1" applyFont="1" applyFill="1" applyBorder="1" applyAlignment="1">
      <alignment horizontal="right" vertical="center" wrapText="1"/>
    </xf>
    <xf numFmtId="209" fontId="17" fillId="0" borderId="14" xfId="0" applyNumberFormat="1" applyFont="1" applyFill="1" applyBorder="1" applyAlignment="1">
      <alignment horizontal="right" vertical="center" wrapText="1"/>
    </xf>
    <xf numFmtId="207" fontId="17" fillId="0" borderId="14" xfId="0" applyNumberFormat="1" applyFont="1" applyFill="1" applyBorder="1" applyAlignment="1">
      <alignment horizontal="right" vertical="center" wrapText="1"/>
    </xf>
    <xf numFmtId="203" fontId="17" fillId="0" borderId="14" xfId="42" applyNumberFormat="1" applyFont="1" applyFill="1" applyBorder="1" applyAlignment="1">
      <alignment horizontal="right" vertical="center" wrapText="1"/>
    </xf>
    <xf numFmtId="204" fontId="18" fillId="0" borderId="14" xfId="0" applyNumberFormat="1" applyFont="1" applyFill="1" applyBorder="1" applyAlignment="1">
      <alignment horizontal="right" vertical="center" wrapText="1"/>
    </xf>
    <xf numFmtId="1" fontId="17" fillId="0" borderId="14" xfId="0" applyNumberFormat="1" applyFont="1" applyFill="1" applyBorder="1" applyAlignment="1">
      <alignment horizontal="right" vertical="center" wrapText="1"/>
    </xf>
    <xf numFmtId="205" fontId="18" fillId="0" borderId="14" xfId="0" applyNumberFormat="1" applyFont="1" applyFill="1" applyBorder="1" applyAlignment="1">
      <alignment horizontal="right" vertical="center" wrapText="1"/>
    </xf>
    <xf numFmtId="3" fontId="21" fillId="0" borderId="14" xfId="62" applyNumberFormat="1" applyFont="1" applyFill="1" applyBorder="1" applyAlignment="1">
      <alignment horizontal="right" vertical="center"/>
      <protection/>
    </xf>
    <xf numFmtId="3" fontId="18" fillId="0" borderId="14" xfId="62" applyNumberFormat="1" applyFont="1" applyFill="1" applyBorder="1" applyAlignment="1">
      <alignment horizontal="right" vertical="center"/>
      <protection/>
    </xf>
    <xf numFmtId="1" fontId="18" fillId="0" borderId="14" xfId="62" applyNumberFormat="1" applyFont="1" applyFill="1" applyBorder="1" applyAlignment="1">
      <alignment horizontal="right" vertical="center"/>
      <protection/>
    </xf>
    <xf numFmtId="2" fontId="17" fillId="0" borderId="14" xfId="42" applyNumberFormat="1" applyFont="1" applyFill="1" applyBorder="1" applyAlignment="1">
      <alignment horizontal="center" vertical="center"/>
    </xf>
    <xf numFmtId="203" fontId="17" fillId="0" borderId="14" xfId="42" applyNumberFormat="1" applyFont="1" applyBorder="1" applyAlignment="1">
      <alignment vertical="center"/>
    </xf>
    <xf numFmtId="1" fontId="17" fillId="0" borderId="14" xfId="0" applyNumberFormat="1" applyFont="1" applyFill="1" applyBorder="1" applyAlignment="1">
      <alignment vertical="center"/>
    </xf>
    <xf numFmtId="203" fontId="21" fillId="0" borderId="14" xfId="42" applyNumberFormat="1" applyFont="1" applyFill="1" applyBorder="1" applyAlignment="1">
      <alignment horizontal="right" vertical="center"/>
    </xf>
    <xf numFmtId="43" fontId="17" fillId="0" borderId="14" xfId="62" applyNumberFormat="1" applyFont="1" applyFill="1" applyBorder="1" applyAlignment="1">
      <alignment vertical="center" wrapText="1"/>
      <protection/>
    </xf>
    <xf numFmtId="189" fontId="17" fillId="0" borderId="14" xfId="62" applyNumberFormat="1" applyFont="1" applyFill="1" applyBorder="1" applyAlignment="1">
      <alignment vertical="center" wrapText="1"/>
      <protection/>
    </xf>
    <xf numFmtId="2" fontId="17" fillId="0" borderId="14" xfId="62" applyNumberFormat="1" applyFont="1" applyFill="1" applyBorder="1" applyAlignment="1">
      <alignment horizontal="center" vertical="center" wrapText="1"/>
      <protection/>
    </xf>
    <xf numFmtId="210" fontId="17" fillId="0" borderId="14" xfId="42" applyNumberFormat="1" applyFont="1" applyBorder="1" applyAlignment="1">
      <alignment vertical="center"/>
    </xf>
    <xf numFmtId="1" fontId="19" fillId="0" borderId="14" xfId="62" applyNumberFormat="1" applyFont="1" applyFill="1" applyBorder="1" applyAlignment="1">
      <alignment horizontal="center" vertical="center"/>
      <protection/>
    </xf>
    <xf numFmtId="0" fontId="22" fillId="0" borderId="14" xfId="0" applyFont="1" applyBorder="1" applyAlignment="1">
      <alignment vertical="center"/>
    </xf>
    <xf numFmtId="1" fontId="19" fillId="0" borderId="14" xfId="62" applyNumberFormat="1" applyFont="1" applyFill="1" applyBorder="1" applyAlignment="1">
      <alignment horizontal="right" vertical="center"/>
      <protection/>
    </xf>
    <xf numFmtId="0" fontId="22" fillId="0" borderId="14" xfId="0" applyFont="1" applyFill="1" applyBorder="1" applyAlignment="1">
      <alignment vertical="center"/>
    </xf>
    <xf numFmtId="1" fontId="33" fillId="0" borderId="14" xfId="62" applyNumberFormat="1" applyFont="1" applyFill="1" applyBorder="1" applyAlignment="1">
      <alignment horizontal="right" vertical="center"/>
      <protection/>
    </xf>
    <xf numFmtId="43" fontId="21" fillId="0" borderId="14" xfId="42" applyFont="1" applyFill="1" applyBorder="1" applyAlignment="1">
      <alignment horizontal="right" vertical="center"/>
    </xf>
    <xf numFmtId="1" fontId="19" fillId="0" borderId="14" xfId="62" applyNumberFormat="1" applyFont="1" applyFill="1" applyBorder="1" applyAlignment="1">
      <alignment vertical="center"/>
      <protection/>
    </xf>
    <xf numFmtId="203" fontId="18" fillId="0" borderId="14" xfId="42" applyNumberFormat="1" applyFont="1" applyFill="1" applyBorder="1" applyAlignment="1">
      <alignment horizontal="right" vertical="center"/>
    </xf>
    <xf numFmtId="203" fontId="33" fillId="0" borderId="14" xfId="42" applyNumberFormat="1" applyFont="1" applyFill="1" applyBorder="1" applyAlignment="1">
      <alignment horizontal="right" vertical="center"/>
    </xf>
    <xf numFmtId="1" fontId="19" fillId="0" borderId="14" xfId="62" applyNumberFormat="1" applyFont="1" applyFill="1" applyBorder="1" applyAlignment="1">
      <alignment vertical="center" wrapText="1"/>
      <protection/>
    </xf>
    <xf numFmtId="43" fontId="19" fillId="0" borderId="14" xfId="42" applyFont="1" applyFill="1" applyBorder="1" applyAlignment="1">
      <alignment horizontal="right" vertical="center"/>
    </xf>
    <xf numFmtId="191" fontId="19" fillId="0" borderId="14" xfId="42" applyNumberFormat="1" applyFont="1" applyFill="1" applyBorder="1" applyAlignment="1">
      <alignment horizontal="right" vertical="center"/>
    </xf>
    <xf numFmtId="43" fontId="19" fillId="0" borderId="14" xfId="42" applyFont="1" applyFill="1" applyBorder="1" applyAlignment="1">
      <alignment horizontal="center" vertical="center"/>
    </xf>
    <xf numFmtId="43" fontId="17" fillId="0" borderId="15" xfId="42" applyFont="1" applyFill="1" applyBorder="1" applyAlignment="1">
      <alignment horizontal="right" vertical="center"/>
    </xf>
    <xf numFmtId="1" fontId="17" fillId="0" borderId="15" xfId="62" applyNumberFormat="1" applyFont="1" applyFill="1" applyBorder="1" applyAlignment="1">
      <alignment horizontal="right" vertical="center"/>
      <protection/>
    </xf>
    <xf numFmtId="3" fontId="18" fillId="0" borderId="15" xfId="0" applyNumberFormat="1" applyFont="1" applyFill="1" applyBorder="1" applyAlignment="1">
      <alignment horizontal="center" vertical="center" wrapText="1"/>
    </xf>
    <xf numFmtId="43" fontId="17" fillId="0" borderId="15" xfId="42" applyFont="1" applyFill="1" applyBorder="1" applyAlignment="1">
      <alignment horizontal="center" vertical="center"/>
    </xf>
    <xf numFmtId="188" fontId="18" fillId="0" borderId="14" xfId="0" applyNumberFormat="1" applyFont="1" applyFill="1" applyBorder="1" applyAlignment="1">
      <alignment horizontal="center" vertical="center" wrapText="1"/>
    </xf>
    <xf numFmtId="3" fontId="1" fillId="0" borderId="0" xfId="0" applyNumberFormat="1" applyFont="1" applyFill="1" applyAlignment="1">
      <alignment vertical="center"/>
    </xf>
    <xf numFmtId="0" fontId="1" fillId="33" borderId="14" xfId="0" applyFont="1" applyFill="1" applyBorder="1" applyAlignment="1">
      <alignment vertical="center" wrapText="1"/>
    </xf>
    <xf numFmtId="0" fontId="1" fillId="0" borderId="14" xfId="0" applyFont="1" applyFill="1" applyBorder="1" applyAlignment="1" quotePrefix="1">
      <alignment vertical="center" wrapText="1"/>
    </xf>
    <xf numFmtId="0" fontId="1" fillId="0" borderId="15" xfId="0"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xf>
    <xf numFmtId="0" fontId="1" fillId="0" borderId="14" xfId="0" applyFont="1" applyBorder="1" applyAlignment="1">
      <alignment wrapText="1"/>
    </xf>
    <xf numFmtId="3" fontId="3" fillId="0" borderId="13" xfId="42" applyNumberFormat="1" applyFont="1" applyFill="1" applyBorder="1" applyAlignment="1">
      <alignment horizontal="center" vertical="center" wrapText="1"/>
    </xf>
    <xf numFmtId="3" fontId="3" fillId="0" borderId="13" xfId="42" applyNumberFormat="1" applyFont="1" applyFill="1" applyBorder="1" applyAlignment="1">
      <alignment horizontal="center" vertical="center"/>
    </xf>
    <xf numFmtId="3" fontId="1" fillId="0" borderId="14" xfId="42" applyNumberFormat="1" applyFont="1" applyFill="1" applyBorder="1" applyAlignment="1">
      <alignment horizontal="center" vertical="center" wrapText="1"/>
    </xf>
    <xf numFmtId="4" fontId="1" fillId="0" borderId="14" xfId="42" applyNumberFormat="1" applyFont="1" applyFill="1" applyBorder="1" applyAlignment="1">
      <alignment horizontal="center" vertical="center"/>
    </xf>
    <xf numFmtId="188" fontId="5" fillId="0" borderId="14" xfId="42" applyNumberFormat="1" applyFont="1" applyFill="1" applyBorder="1" applyAlignment="1">
      <alignment horizontal="center" vertical="center" wrapText="1"/>
    </xf>
    <xf numFmtId="3" fontId="5" fillId="0" borderId="14" xfId="42" applyNumberFormat="1" applyFont="1" applyFill="1" applyBorder="1" applyAlignment="1">
      <alignment horizontal="center" vertical="center" wrapText="1"/>
    </xf>
    <xf numFmtId="190" fontId="1" fillId="0" borderId="14" xfId="0" applyNumberFormat="1" applyFont="1" applyFill="1" applyBorder="1" applyAlignment="1">
      <alignment vertical="center"/>
    </xf>
    <xf numFmtId="190" fontId="1" fillId="0" borderId="14" xfId="0" applyNumberFormat="1" applyFont="1" applyFill="1" applyBorder="1" applyAlignment="1">
      <alignment horizontal="center" vertical="center"/>
    </xf>
    <xf numFmtId="190" fontId="1" fillId="0" borderId="14" xfId="0" applyNumberFormat="1" applyFont="1" applyFill="1" applyBorder="1" applyAlignment="1" quotePrefix="1">
      <alignment horizontal="center" vertical="center"/>
    </xf>
    <xf numFmtId="3" fontId="1" fillId="0" borderId="14" xfId="42" applyNumberFormat="1" applyFont="1" applyFill="1" applyBorder="1" applyAlignment="1">
      <alignment horizontal="center" vertical="center"/>
    </xf>
    <xf numFmtId="3" fontId="8" fillId="0" borderId="14" xfId="42"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xf>
    <xf numFmtId="188" fontId="26" fillId="0" borderId="14" xfId="42" applyNumberFormat="1" applyFont="1" applyFill="1" applyBorder="1" applyAlignment="1">
      <alignment horizontal="center" vertical="center" wrapText="1"/>
    </xf>
    <xf numFmtId="3" fontId="26" fillId="0" borderId="14" xfId="42" applyNumberFormat="1" applyFont="1" applyFill="1" applyBorder="1" applyAlignment="1">
      <alignment horizontal="center" vertical="center" wrapText="1"/>
    </xf>
    <xf numFmtId="188" fontId="1" fillId="0" borderId="14" xfId="42" applyNumberFormat="1" applyFont="1" applyFill="1" applyBorder="1" applyAlignment="1">
      <alignment horizontal="center" vertical="center" wrapText="1"/>
    </xf>
    <xf numFmtId="2" fontId="1" fillId="0" borderId="14" xfId="0" applyNumberFormat="1" applyFont="1" applyFill="1" applyBorder="1" applyAlignment="1">
      <alignment horizontal="center" vertical="center"/>
    </xf>
    <xf numFmtId="0" fontId="1" fillId="33" borderId="14" xfId="0" applyFont="1" applyFill="1" applyBorder="1" applyAlignment="1">
      <alignment horizontal="left" vertical="center" wrapText="1"/>
    </xf>
    <xf numFmtId="0" fontId="1" fillId="33" borderId="14" xfId="0" applyFont="1" applyFill="1" applyBorder="1" applyAlignment="1">
      <alignment horizontal="center" vertical="center" wrapText="1"/>
    </xf>
    <xf numFmtId="1" fontId="1" fillId="0" borderId="14" xfId="0" applyNumberFormat="1" applyFont="1" applyFill="1" applyBorder="1" applyAlignment="1">
      <alignment horizontal="center" vertical="center"/>
    </xf>
    <xf numFmtId="4" fontId="5" fillId="0" borderId="14" xfId="42" applyNumberFormat="1" applyFont="1" applyFill="1" applyBorder="1" applyAlignment="1">
      <alignment horizontal="center" vertical="center" wrapText="1"/>
    </xf>
    <xf numFmtId="2" fontId="1" fillId="0" borderId="14" xfId="0" applyNumberFormat="1" applyFont="1" applyFill="1" applyBorder="1" applyAlignment="1">
      <alignment vertical="center"/>
    </xf>
    <xf numFmtId="1" fontId="1" fillId="0" borderId="14" xfId="0" applyNumberFormat="1" applyFont="1" applyFill="1" applyBorder="1" applyAlignment="1">
      <alignment vertical="center"/>
    </xf>
    <xf numFmtId="4" fontId="1" fillId="0" borderId="14" xfId="42" applyNumberFormat="1" applyFont="1" applyFill="1" applyBorder="1" applyAlignment="1" quotePrefix="1">
      <alignment horizontal="center" vertical="center"/>
    </xf>
    <xf numFmtId="189" fontId="1" fillId="0" borderId="14" xfId="42" applyNumberFormat="1" applyFont="1" applyFill="1" applyBorder="1" applyAlignment="1" quotePrefix="1">
      <alignment horizontal="center" vertical="center" wrapText="1"/>
    </xf>
    <xf numFmtId="0" fontId="5" fillId="0" borderId="14" xfId="0" applyFont="1" applyFill="1" applyBorder="1" applyAlignment="1">
      <alignment vertical="center" wrapText="1"/>
    </xf>
    <xf numFmtId="189" fontId="5" fillId="0" borderId="14" xfId="42" applyNumberFormat="1" applyFont="1" applyFill="1" applyBorder="1" applyAlignment="1" quotePrefix="1">
      <alignment horizontal="center" vertical="center" wrapText="1"/>
    </xf>
    <xf numFmtId="4" fontId="5" fillId="0" borderId="14" xfId="42" applyNumberFormat="1" applyFont="1" applyFill="1" applyBorder="1" applyAlignment="1" quotePrefix="1">
      <alignment horizontal="center" vertical="center"/>
    </xf>
    <xf numFmtId="0" fontId="1" fillId="0" borderId="14" xfId="0" applyFont="1" applyBorder="1" applyAlignment="1">
      <alignment wrapText="1"/>
    </xf>
    <xf numFmtId="0" fontId="1" fillId="0" borderId="14" xfId="42" applyNumberFormat="1" applyFont="1" applyFill="1" applyBorder="1" applyAlignment="1">
      <alignment horizontal="center" vertical="center" wrapText="1"/>
    </xf>
    <xf numFmtId="0" fontId="1" fillId="0" borderId="15" xfId="0" applyFont="1" applyFill="1" applyBorder="1" applyAlignment="1">
      <alignment vertical="center" wrapText="1"/>
    </xf>
    <xf numFmtId="3" fontId="5" fillId="0" borderId="19" xfId="42" applyNumberFormat="1" applyFont="1" applyFill="1" applyBorder="1" applyAlignment="1">
      <alignment horizontal="center" vertical="center" wrapText="1"/>
    </xf>
    <xf numFmtId="0" fontId="1" fillId="0" borderId="19" xfId="0" applyFont="1" applyFill="1" applyBorder="1" applyAlignment="1">
      <alignment vertical="center"/>
    </xf>
    <xf numFmtId="49" fontId="1" fillId="0" borderId="19" xfId="0" applyNumberFormat="1"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9" xfId="0" applyFont="1" applyFill="1" applyBorder="1" applyAlignment="1">
      <alignment horizontal="center" vertical="center"/>
    </xf>
    <xf numFmtId="49" fontId="23" fillId="0" borderId="15" xfId="0" applyNumberFormat="1" applyFont="1" applyFill="1" applyBorder="1" applyAlignment="1">
      <alignment horizontal="center" vertical="center"/>
    </xf>
    <xf numFmtId="0" fontId="23" fillId="33" borderId="15" xfId="58" applyFont="1" applyFill="1" applyBorder="1" applyAlignment="1">
      <alignment horizontal="left" vertical="center" wrapText="1"/>
      <protection/>
    </xf>
    <xf numFmtId="0" fontId="23" fillId="0" borderId="15" xfId="0" applyFont="1" applyFill="1" applyBorder="1" applyAlignment="1">
      <alignment horizontal="center" vertical="center" wrapText="1"/>
    </xf>
    <xf numFmtId="3" fontId="5" fillId="0" borderId="15" xfId="42" applyNumberFormat="1" applyFont="1" applyFill="1" applyBorder="1" applyAlignment="1">
      <alignment horizontal="center" vertical="center" wrapText="1"/>
    </xf>
    <xf numFmtId="0" fontId="1" fillId="0" borderId="19" xfId="0" applyFont="1" applyFill="1" applyBorder="1" applyAlignment="1">
      <alignment vertical="center" wrapText="1"/>
    </xf>
    <xf numFmtId="3" fontId="1" fillId="0" borderId="19"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0" fontId="1" fillId="33" borderId="13" xfId="58" applyFont="1" applyFill="1" applyBorder="1" applyAlignment="1">
      <alignment horizontal="left" vertical="center" wrapText="1"/>
      <protection/>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3" fontId="1" fillId="0" borderId="15" xfId="0" applyNumberFormat="1" applyFont="1" applyFill="1" applyBorder="1" applyAlignment="1">
      <alignment horizontal="center" vertical="center"/>
    </xf>
    <xf numFmtId="0" fontId="1" fillId="0" borderId="19" xfId="0" applyFont="1" applyFill="1" applyBorder="1" applyAlignment="1">
      <alignment horizontal="left" vertical="center" wrapText="1"/>
    </xf>
    <xf numFmtId="190" fontId="1" fillId="0" borderId="19" xfId="0" applyNumberFormat="1" applyFont="1" applyFill="1" applyBorder="1" applyAlignment="1" quotePrefix="1">
      <alignment vertical="center"/>
    </xf>
    <xf numFmtId="190" fontId="1" fillId="0" borderId="15" xfId="0" applyNumberFormat="1" applyFont="1" applyFill="1" applyBorder="1" applyAlignment="1">
      <alignment vertical="center"/>
    </xf>
    <xf numFmtId="49" fontId="3" fillId="0" borderId="19" xfId="0" applyNumberFormat="1" applyFont="1" applyFill="1" applyBorder="1" applyAlignment="1">
      <alignment horizontal="center" vertical="center"/>
    </xf>
    <xf numFmtId="0" fontId="3" fillId="33" borderId="19" xfId="0" applyFont="1" applyFill="1" applyBorder="1" applyAlignment="1">
      <alignment horizontal="justify"/>
    </xf>
    <xf numFmtId="3" fontId="1" fillId="0" borderId="19" xfId="0" applyNumberFormat="1" applyFont="1" applyFill="1" applyBorder="1" applyAlignment="1">
      <alignment horizontal="left" vertical="center" wrapText="1"/>
    </xf>
    <xf numFmtId="2" fontId="1" fillId="0" borderId="19" xfId="0" applyNumberFormat="1" applyFont="1" applyFill="1" applyBorder="1" applyAlignment="1">
      <alignment horizontal="center" vertical="center"/>
    </xf>
    <xf numFmtId="3" fontId="1" fillId="0" borderId="15" xfId="0" applyNumberFormat="1" applyFont="1" applyFill="1" applyBorder="1" applyAlignment="1">
      <alignment horizontal="left" vertical="center" wrapText="1"/>
    </xf>
    <xf numFmtId="3" fontId="1" fillId="33" borderId="19" xfId="0" applyNumberFormat="1" applyFont="1" applyFill="1" applyBorder="1" applyAlignment="1">
      <alignment horizontal="center" vertical="center" wrapText="1"/>
    </xf>
    <xf numFmtId="3" fontId="23" fillId="33" borderId="19" xfId="0" applyNumberFormat="1" applyFont="1" applyFill="1" applyBorder="1" applyAlignment="1">
      <alignment horizontal="left" vertical="center" wrapText="1"/>
    </xf>
    <xf numFmtId="3" fontId="1" fillId="0" borderId="15" xfId="0" applyNumberFormat="1" applyFont="1" applyFill="1" applyBorder="1" applyAlignment="1">
      <alignment vertical="center"/>
    </xf>
    <xf numFmtId="3" fontId="1" fillId="33" borderId="19" xfId="0" applyNumberFormat="1" applyFont="1" applyFill="1" applyBorder="1" applyAlignment="1">
      <alignment horizontal="left" vertical="center" wrapText="1"/>
    </xf>
    <xf numFmtId="3" fontId="1" fillId="0" borderId="19" xfId="0" applyNumberFormat="1" applyFont="1" applyFill="1" applyBorder="1" applyAlignment="1">
      <alignment vertical="center"/>
    </xf>
    <xf numFmtId="0" fontId="1" fillId="0" borderId="19"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xf>
    <xf numFmtId="0" fontId="1" fillId="0" borderId="15" xfId="0" applyFont="1" applyBorder="1" applyAlignment="1">
      <alignment wrapText="1"/>
    </xf>
    <xf numFmtId="0" fontId="1" fillId="0" borderId="15" xfId="0" applyNumberFormat="1" applyFont="1" applyFill="1" applyBorder="1" applyAlignment="1">
      <alignment horizontal="center" vertical="center"/>
    </xf>
    <xf numFmtId="4" fontId="1" fillId="0" borderId="14" xfId="42" applyNumberFormat="1" applyFont="1" applyFill="1" applyBorder="1" applyAlignment="1">
      <alignment horizontal="center" vertical="center" wrapText="1"/>
    </xf>
    <xf numFmtId="0" fontId="23" fillId="0" borderId="12" xfId="0" applyFont="1" applyFill="1" applyBorder="1" applyAlignment="1">
      <alignment horizontal="center" vertical="center" wrapText="1"/>
    </xf>
    <xf numFmtId="3" fontId="23" fillId="0" borderId="13" xfId="42" applyNumberFormat="1" applyFont="1" applyFill="1" applyBorder="1" applyAlignment="1">
      <alignment horizontal="left" vertical="center"/>
    </xf>
    <xf numFmtId="188" fontId="26" fillId="0" borderId="14" xfId="42" applyNumberFormat="1" applyFont="1" applyFill="1" applyBorder="1" applyAlignment="1">
      <alignment horizontal="center" vertical="center"/>
    </xf>
    <xf numFmtId="3" fontId="34" fillId="0" borderId="14" xfId="42" applyNumberFormat="1" applyFont="1" applyFill="1" applyBorder="1" applyAlignment="1">
      <alignment horizontal="center" vertical="center" wrapText="1"/>
    </xf>
    <xf numFmtId="188" fontId="34" fillId="0" borderId="14" xfId="42" applyNumberFormat="1" applyFont="1" applyFill="1" applyBorder="1" applyAlignment="1">
      <alignment horizontal="center" vertical="center" wrapText="1"/>
    </xf>
    <xf numFmtId="4" fontId="26" fillId="0" borderId="14" xfId="42" applyNumberFormat="1" applyFont="1" applyFill="1" applyBorder="1" applyAlignment="1">
      <alignment horizontal="center" vertical="center"/>
    </xf>
    <xf numFmtId="3" fontId="26" fillId="0" borderId="14" xfId="0" applyNumberFormat="1" applyFont="1" applyFill="1" applyBorder="1" applyAlignment="1">
      <alignment horizontal="center" vertical="center" wrapText="1"/>
    </xf>
    <xf numFmtId="0" fontId="26" fillId="0" borderId="14" xfId="0" applyFont="1" applyFill="1" applyBorder="1" applyAlignment="1">
      <alignment horizontal="center" vertical="center"/>
    </xf>
    <xf numFmtId="0" fontId="26" fillId="0" borderId="15" xfId="0" applyFont="1" applyFill="1" applyBorder="1" applyAlignment="1">
      <alignment vertical="center"/>
    </xf>
    <xf numFmtId="0" fontId="26" fillId="0" borderId="13" xfId="0" applyFont="1" applyFill="1" applyBorder="1" applyAlignment="1">
      <alignment horizontal="center" vertical="center"/>
    </xf>
    <xf numFmtId="3" fontId="26" fillId="0" borderId="14" xfId="0" applyNumberFormat="1" applyFont="1" applyFill="1" applyBorder="1" applyAlignment="1">
      <alignment vertical="center"/>
    </xf>
    <xf numFmtId="3" fontId="26" fillId="0" borderId="14" xfId="0" applyNumberFormat="1" applyFont="1" applyFill="1" applyBorder="1" applyAlignment="1">
      <alignment horizontal="center" vertical="center"/>
    </xf>
    <xf numFmtId="3" fontId="26" fillId="0" borderId="15" xfId="0" applyNumberFormat="1" applyFont="1" applyFill="1" applyBorder="1" applyAlignment="1">
      <alignment horizontal="center" vertical="center"/>
    </xf>
    <xf numFmtId="3" fontId="26" fillId="0" borderId="19" xfId="0" applyNumberFormat="1" applyFont="1" applyFill="1" applyBorder="1" applyAlignment="1">
      <alignment horizontal="center" vertical="center"/>
    </xf>
    <xf numFmtId="190" fontId="26" fillId="0" borderId="14" xfId="0" applyNumberFormat="1" applyFont="1" applyFill="1" applyBorder="1" applyAlignment="1">
      <alignment vertical="center"/>
    </xf>
    <xf numFmtId="190" fontId="26" fillId="0" borderId="14" xfId="0" applyNumberFormat="1" applyFont="1" applyFill="1" applyBorder="1" applyAlignment="1">
      <alignment horizontal="center" vertical="center"/>
    </xf>
    <xf numFmtId="0" fontId="26" fillId="0" borderId="19" xfId="0" applyFont="1" applyFill="1" applyBorder="1" applyAlignment="1">
      <alignment vertical="center"/>
    </xf>
    <xf numFmtId="3" fontId="26" fillId="0" borderId="14" xfId="42" applyNumberFormat="1"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49" fontId="26" fillId="0" borderId="14" xfId="0" applyNumberFormat="1" applyFont="1" applyFill="1" applyBorder="1" applyAlignment="1">
      <alignment horizontal="center" vertical="center"/>
    </xf>
    <xf numFmtId="3" fontId="26" fillId="0" borderId="15" xfId="0" applyNumberFormat="1" applyFont="1" applyFill="1" applyBorder="1" applyAlignment="1">
      <alignment vertical="center"/>
    </xf>
    <xf numFmtId="2" fontId="26" fillId="0" borderId="14" xfId="0" applyNumberFormat="1" applyFont="1" applyFill="1" applyBorder="1" applyAlignment="1">
      <alignment horizontal="center" vertical="center"/>
    </xf>
    <xf numFmtId="1" fontId="26" fillId="0" borderId="14" xfId="0" applyNumberFormat="1" applyFont="1" applyFill="1" applyBorder="1" applyAlignment="1">
      <alignment horizontal="center" vertical="center"/>
    </xf>
    <xf numFmtId="188" fontId="26" fillId="0" borderId="14" xfId="42" applyNumberFormat="1" applyFont="1" applyFill="1" applyBorder="1" applyAlignment="1" quotePrefix="1">
      <alignment horizontal="center" vertical="center"/>
    </xf>
    <xf numFmtId="4" fontId="26" fillId="0" borderId="14" xfId="42" applyNumberFormat="1" applyFont="1" applyFill="1" applyBorder="1" applyAlignment="1" quotePrefix="1">
      <alignment horizontal="center" vertical="center"/>
    </xf>
    <xf numFmtId="4" fontId="34" fillId="0" borderId="14" xfId="42" applyNumberFormat="1" applyFont="1" applyFill="1" applyBorder="1" applyAlignment="1" quotePrefix="1">
      <alignment horizontal="center" vertical="center"/>
    </xf>
    <xf numFmtId="0" fontId="26" fillId="0" borderId="14" xfId="0" applyNumberFormat="1" applyFont="1" applyFill="1" applyBorder="1" applyAlignment="1">
      <alignment horizontal="center" vertical="center"/>
    </xf>
    <xf numFmtId="0" fontId="26" fillId="0" borderId="19" xfId="0" applyNumberFormat="1" applyFont="1" applyFill="1" applyBorder="1" applyAlignment="1">
      <alignment horizontal="center" vertical="center"/>
    </xf>
    <xf numFmtId="0" fontId="26" fillId="0" borderId="14" xfId="42" applyNumberFormat="1" applyFont="1" applyFill="1" applyBorder="1" applyAlignment="1">
      <alignment horizontal="center" vertical="center" wrapText="1"/>
    </xf>
    <xf numFmtId="0" fontId="26" fillId="0" borderId="0" xfId="0" applyFont="1" applyFill="1" applyAlignment="1">
      <alignment vertical="center"/>
    </xf>
    <xf numFmtId="0" fontId="3"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vertical="center" wrapText="1"/>
    </xf>
    <xf numFmtId="0" fontId="35" fillId="0" borderId="0" xfId="0" applyFont="1" applyAlignment="1">
      <alignment horizontal="center" vertical="center" wrapText="1"/>
    </xf>
    <xf numFmtId="0" fontId="15" fillId="0" borderId="0" xfId="0" applyFont="1" applyAlignment="1">
      <alignment horizontal="center"/>
    </xf>
    <xf numFmtId="0" fontId="15" fillId="0" borderId="0" xfId="0" applyFont="1" applyAlignment="1">
      <alignment/>
    </xf>
    <xf numFmtId="0" fontId="35" fillId="0" borderId="0" xfId="0" applyFont="1" applyAlignment="1">
      <alignment horizontal="justify"/>
    </xf>
    <xf numFmtId="0" fontId="0" fillId="0" borderId="0" xfId="0" applyAlignment="1">
      <alignment horizontal="center"/>
    </xf>
    <xf numFmtId="0" fontId="36" fillId="0" borderId="0" xfId="0" applyFont="1" applyAlignment="1">
      <alignment horizontal="justify"/>
    </xf>
    <xf numFmtId="0" fontId="12" fillId="0" borderId="0" xfId="0" applyFont="1" applyAlignment="1">
      <alignment horizontal="justify"/>
    </xf>
    <xf numFmtId="0" fontId="1" fillId="0" borderId="0" xfId="0" applyFont="1" applyAlignment="1">
      <alignment/>
    </xf>
    <xf numFmtId="0" fontId="36" fillId="0" borderId="0" xfId="0" applyFont="1" applyAlignment="1">
      <alignment wrapText="1"/>
    </xf>
    <xf numFmtId="3" fontId="1" fillId="0" borderId="0" xfId="0" applyNumberFormat="1" applyFont="1" applyAlignment="1">
      <alignment vertical="center" wrapText="1"/>
    </xf>
    <xf numFmtId="0" fontId="3" fillId="0" borderId="13" xfId="0" applyFont="1" applyBorder="1" applyAlignment="1">
      <alignment horizontal="center" vertical="center" wrapText="1"/>
    </xf>
    <xf numFmtId="3" fontId="3" fillId="0" borderId="13"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3" fontId="3" fillId="0" borderId="14" xfId="0" applyNumberFormat="1" applyFont="1" applyBorder="1" applyAlignment="1">
      <alignment horizontal="center" vertical="center" wrapText="1"/>
    </xf>
    <xf numFmtId="0" fontId="37" fillId="0" borderId="0" xfId="0" applyFont="1" applyAlignment="1">
      <alignment horizontal="center" vertical="center" wrapText="1"/>
    </xf>
    <xf numFmtId="0" fontId="38" fillId="0" borderId="0" xfId="0" applyFont="1" applyAlignment="1">
      <alignment/>
    </xf>
    <xf numFmtId="49" fontId="1" fillId="0" borderId="14"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0" fontId="39" fillId="0" borderId="0" xfId="0" applyFont="1" applyAlignment="1">
      <alignment/>
    </xf>
    <xf numFmtId="0" fontId="37" fillId="0" borderId="0" xfId="0" applyFont="1" applyFill="1" applyAlignment="1">
      <alignment/>
    </xf>
    <xf numFmtId="0" fontId="39" fillId="0" borderId="0" xfId="0" applyFont="1" applyFill="1" applyAlignment="1">
      <alignment/>
    </xf>
    <xf numFmtId="49" fontId="39" fillId="0" borderId="14" xfId="0" applyNumberFormat="1" applyFont="1" applyFill="1" applyBorder="1" applyAlignment="1">
      <alignment horizontal="center" vertical="center" wrapText="1"/>
    </xf>
    <xf numFmtId="0" fontId="29" fillId="0" borderId="0" xfId="0" applyFont="1" applyFill="1" applyAlignment="1">
      <alignment/>
    </xf>
    <xf numFmtId="1" fontId="1" fillId="0" borderId="14" xfId="0" applyNumberFormat="1"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1" fillId="0" borderId="15" xfId="0" applyNumberFormat="1" applyFont="1" applyBorder="1" applyAlignment="1">
      <alignment horizontal="center" vertical="center" wrapText="1"/>
    </xf>
    <xf numFmtId="0" fontId="39" fillId="0" borderId="0" xfId="0" applyFont="1" applyFill="1" applyBorder="1" applyAlignment="1">
      <alignment/>
    </xf>
    <xf numFmtId="49" fontId="1" fillId="0" borderId="15" xfId="0" applyNumberFormat="1" applyFont="1" applyFill="1" applyBorder="1" applyAlignment="1">
      <alignment horizontal="center" vertical="center" wrapText="1"/>
    </xf>
    <xf numFmtId="0" fontId="39" fillId="0" borderId="14" xfId="0" applyFont="1" applyFill="1" applyBorder="1" applyAlignment="1">
      <alignment/>
    </xf>
    <xf numFmtId="0" fontId="1" fillId="0" borderId="15" xfId="0" applyFont="1" applyFill="1" applyBorder="1" applyAlignment="1">
      <alignment/>
    </xf>
    <xf numFmtId="0" fontId="1" fillId="0" borderId="0" xfId="0" applyFont="1" applyFill="1" applyAlignment="1">
      <alignment/>
    </xf>
    <xf numFmtId="0" fontId="15" fillId="0" borderId="0" xfId="0" applyFont="1" applyBorder="1" applyAlignment="1">
      <alignment horizontal="center"/>
    </xf>
    <xf numFmtId="3" fontId="15" fillId="0" borderId="0" xfId="0" applyNumberFormat="1" applyFont="1" applyBorder="1" applyAlignment="1">
      <alignment horizontal="justify"/>
    </xf>
    <xf numFmtId="0" fontId="15" fillId="0" borderId="0" xfId="0" applyFont="1" applyBorder="1" applyAlignment="1">
      <alignment/>
    </xf>
    <xf numFmtId="0" fontId="15" fillId="0" borderId="0" xfId="0" applyFont="1" applyBorder="1" applyAlignment="1">
      <alignment horizontal="justify"/>
    </xf>
    <xf numFmtId="0" fontId="0" fillId="0" borderId="0" xfId="0" applyBorder="1" applyAlignment="1">
      <alignment horizontal="center"/>
    </xf>
    <xf numFmtId="0" fontId="36" fillId="0" borderId="0" xfId="0" applyFont="1" applyBorder="1" applyAlignment="1">
      <alignment horizontal="justify"/>
    </xf>
    <xf numFmtId="0" fontId="0" fillId="0" borderId="0" xfId="0" applyBorder="1" applyAlignment="1">
      <alignment/>
    </xf>
    <xf numFmtId="0" fontId="37" fillId="0" borderId="14"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4" xfId="0" applyFont="1" applyFill="1" applyBorder="1" applyAlignment="1">
      <alignment horizontal="center" vertical="center" wrapText="1"/>
    </xf>
    <xf numFmtId="0" fontId="29" fillId="0" borderId="14" xfId="0" applyFont="1" applyFill="1" applyBorder="1" applyAlignment="1">
      <alignment horizontal="center" vertical="center" wrapText="1"/>
    </xf>
    <xf numFmtId="3" fontId="39" fillId="0" borderId="14" xfId="0" applyNumberFormat="1" applyFont="1" applyFill="1" applyBorder="1" applyAlignment="1">
      <alignment horizontal="center" vertical="center"/>
    </xf>
    <xf numFmtId="3" fontId="29" fillId="0" borderId="14" xfId="0" applyNumberFormat="1" applyFont="1" applyFill="1" applyBorder="1" applyAlignment="1">
      <alignment horizontal="center" vertical="center" wrapText="1"/>
    </xf>
    <xf numFmtId="0" fontId="0" fillId="0" borderId="0" xfId="0" applyFont="1" applyAlignment="1">
      <alignment/>
    </xf>
    <xf numFmtId="49" fontId="5" fillId="0" borderId="14"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3" fontId="5" fillId="0" borderId="14" xfId="0" applyNumberFormat="1" applyFont="1" applyBorder="1" applyAlignment="1">
      <alignment horizontal="center" vertical="center" wrapText="1"/>
    </xf>
    <xf numFmtId="3" fontId="5" fillId="0" borderId="14" xfId="0" applyNumberFormat="1" applyFont="1" applyFill="1" applyBorder="1" applyAlignment="1">
      <alignment horizontal="center" vertical="center" wrapText="1"/>
    </xf>
    <xf numFmtId="0" fontId="40" fillId="0" borderId="0" xfId="0" applyFont="1" applyFill="1" applyAlignment="1">
      <alignment/>
    </xf>
    <xf numFmtId="0" fontId="41" fillId="0" borderId="0" xfId="0" applyFont="1" applyFill="1" applyAlignment="1">
      <alignment/>
    </xf>
    <xf numFmtId="0" fontId="38" fillId="0" borderId="14" xfId="0" applyFont="1" applyBorder="1" applyAlignment="1">
      <alignment horizontal="center" vertical="center"/>
    </xf>
    <xf numFmtId="0" fontId="39" fillId="0" borderId="14" xfId="0" applyFont="1" applyBorder="1" applyAlignment="1">
      <alignment horizontal="center" vertical="center"/>
    </xf>
    <xf numFmtId="0" fontId="37" fillId="0" borderId="14" xfId="0" applyFont="1" applyFill="1" applyBorder="1" applyAlignment="1">
      <alignment horizontal="center" vertical="center"/>
    </xf>
    <xf numFmtId="0" fontId="39" fillId="0" borderId="14" xfId="0" applyFont="1" applyFill="1" applyBorder="1" applyAlignment="1">
      <alignment horizontal="center" vertical="center"/>
    </xf>
    <xf numFmtId="0" fontId="29" fillId="0" borderId="14" xfId="0" applyFont="1" applyFill="1" applyBorder="1" applyAlignment="1">
      <alignment horizontal="center" vertical="center"/>
    </xf>
    <xf numFmtId="3" fontId="40" fillId="0" borderId="14" xfId="0" applyNumberFormat="1" applyFont="1" applyFill="1" applyBorder="1" applyAlignment="1">
      <alignment horizontal="center" vertical="center"/>
    </xf>
    <xf numFmtId="0" fontId="41" fillId="0" borderId="14"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3" fontId="39" fillId="0" borderId="14" xfId="0" applyNumberFormat="1" applyFont="1" applyBorder="1" applyAlignment="1">
      <alignment horizontal="center" vertical="center" wrapText="1"/>
    </xf>
    <xf numFmtId="3" fontId="39" fillId="0" borderId="14" xfId="0" applyNumberFormat="1" applyFont="1" applyBorder="1" applyAlignment="1">
      <alignment horizontal="center" vertical="center"/>
    </xf>
    <xf numFmtId="3" fontId="39" fillId="0" borderId="14" xfId="0" applyNumberFormat="1" applyFont="1" applyFill="1" applyBorder="1" applyAlignment="1">
      <alignment horizontal="center" vertical="center" wrapText="1"/>
    </xf>
    <xf numFmtId="0" fontId="43" fillId="0" borderId="13" xfId="0" applyFont="1" applyBorder="1" applyAlignment="1">
      <alignment horizontal="center" vertical="center" wrapText="1"/>
    </xf>
    <xf numFmtId="3" fontId="43" fillId="0" borderId="13" xfId="0" applyNumberFormat="1" applyFont="1" applyBorder="1" applyAlignment="1">
      <alignment horizontal="center" vertical="center" wrapText="1"/>
    </xf>
    <xf numFmtId="3" fontId="3" fillId="0" borderId="0" xfId="0" applyNumberFormat="1" applyFont="1" applyAlignment="1">
      <alignment horizontal="center" vertical="center" wrapText="1"/>
    </xf>
    <xf numFmtId="0" fontId="3" fillId="0" borderId="11" xfId="0" applyFont="1" applyBorder="1" applyAlignment="1">
      <alignment horizontal="center" vertical="center" wrapText="1"/>
    </xf>
    <xf numFmtId="3" fontId="19" fillId="0" borderId="0" xfId="0" applyNumberFormat="1" applyFont="1" applyBorder="1" applyAlignment="1">
      <alignment horizontal="center" vertical="center"/>
    </xf>
    <xf numFmtId="0" fontId="26" fillId="0" borderId="0" xfId="0" applyFont="1" applyFill="1" applyAlignment="1">
      <alignment/>
    </xf>
    <xf numFmtId="43" fontId="3" fillId="0" borderId="14" xfId="42" applyFont="1" applyBorder="1" applyAlignment="1">
      <alignment horizontal="center" vertical="center" wrapText="1"/>
    </xf>
    <xf numFmtId="43" fontId="39" fillId="0" borderId="14" xfId="42" applyFont="1" applyBorder="1" applyAlignment="1">
      <alignment horizontal="center" vertical="center"/>
    </xf>
    <xf numFmtId="43" fontId="39" fillId="0" borderId="14" xfId="42" applyFont="1" applyFill="1" applyBorder="1" applyAlignment="1">
      <alignment horizontal="center" vertical="center"/>
    </xf>
    <xf numFmtId="43" fontId="26" fillId="0" borderId="14" xfId="42" applyFont="1" applyFill="1" applyBorder="1" applyAlignment="1">
      <alignment horizontal="center" vertical="center"/>
    </xf>
    <xf numFmtId="43" fontId="29" fillId="0" borderId="14" xfId="42" applyFont="1" applyFill="1" applyBorder="1" applyAlignment="1">
      <alignment horizontal="center" vertical="center"/>
    </xf>
    <xf numFmtId="3" fontId="29" fillId="0" borderId="14" xfId="0" applyNumberFormat="1" applyFont="1" applyFill="1" applyBorder="1" applyAlignment="1">
      <alignment horizontal="center" vertical="center"/>
    </xf>
    <xf numFmtId="0" fontId="42" fillId="0" borderId="14" xfId="0" applyFont="1" applyFill="1" applyBorder="1" applyAlignment="1">
      <alignment horizontal="center" vertical="center" wrapText="1"/>
    </xf>
    <xf numFmtId="0" fontId="40" fillId="0" borderId="14" xfId="0" applyFont="1" applyFill="1" applyBorder="1" applyAlignment="1">
      <alignment horizontal="center" vertical="center"/>
    </xf>
    <xf numFmtId="3" fontId="39" fillId="0" borderId="0" xfId="0" applyNumberFormat="1" applyFont="1" applyFill="1" applyAlignment="1">
      <alignment/>
    </xf>
    <xf numFmtId="3" fontId="41" fillId="0" borderId="0" xfId="0" applyNumberFormat="1" applyFont="1" applyFill="1" applyAlignment="1">
      <alignment/>
    </xf>
    <xf numFmtId="3" fontId="40" fillId="0" borderId="0" xfId="0" applyNumberFormat="1" applyFont="1" applyFill="1" applyAlignment="1">
      <alignment/>
    </xf>
    <xf numFmtId="3" fontId="5" fillId="0" borderId="14" xfId="0" applyNumberFormat="1" applyFont="1" applyFill="1" applyBorder="1" applyAlignment="1">
      <alignment horizontal="center" vertical="center"/>
    </xf>
    <xf numFmtId="0" fontId="97" fillId="0" borderId="0" xfId="0" applyFont="1" applyAlignment="1">
      <alignment horizontal="center"/>
    </xf>
    <xf numFmtId="0" fontId="97" fillId="0" borderId="0" xfId="0" applyFont="1" applyAlignment="1">
      <alignment/>
    </xf>
    <xf numFmtId="0" fontId="98" fillId="0" borderId="0" xfId="0" applyFont="1" applyBorder="1" applyAlignment="1">
      <alignment vertical="center" wrapText="1"/>
    </xf>
    <xf numFmtId="0" fontId="99" fillId="0" borderId="0" xfId="0" applyFont="1" applyFill="1" applyAlignment="1">
      <alignment vertical="center"/>
    </xf>
    <xf numFmtId="0" fontId="98" fillId="0" borderId="0" xfId="0" applyFont="1" applyAlignment="1">
      <alignment vertical="center" wrapText="1"/>
    </xf>
    <xf numFmtId="0" fontId="99" fillId="0" borderId="10" xfId="0" applyFont="1" applyFill="1" applyBorder="1" applyAlignment="1">
      <alignment vertical="center"/>
    </xf>
    <xf numFmtId="3" fontId="99" fillId="0" borderId="10" xfId="0" applyNumberFormat="1" applyFont="1" applyFill="1" applyBorder="1" applyAlignment="1">
      <alignment vertical="center"/>
    </xf>
    <xf numFmtId="0" fontId="100" fillId="0" borderId="0" xfId="0" applyFont="1" applyAlignment="1">
      <alignment horizontal="center" vertical="center" wrapText="1"/>
    </xf>
    <xf numFmtId="0" fontId="101" fillId="0" borderId="14" xfId="0" applyFont="1" applyBorder="1" applyAlignment="1">
      <alignment horizontal="center" vertical="center" wrapText="1"/>
    </xf>
    <xf numFmtId="3" fontId="101" fillId="0" borderId="14" xfId="0" applyNumberFormat="1" applyFont="1" applyBorder="1" applyAlignment="1">
      <alignment horizontal="center" vertical="center" wrapText="1"/>
    </xf>
    <xf numFmtId="0" fontId="101" fillId="0" borderId="0" xfId="0" applyFont="1" applyAlignment="1">
      <alignment horizontal="center" vertical="center" wrapText="1"/>
    </xf>
    <xf numFmtId="0" fontId="101" fillId="0" borderId="14" xfId="0" applyFont="1" applyBorder="1" applyAlignment="1">
      <alignment horizontal="left" vertical="center" wrapText="1"/>
    </xf>
    <xf numFmtId="43" fontId="101" fillId="0" borderId="14" xfId="42" applyFont="1" applyBorder="1" applyAlignment="1">
      <alignment horizontal="center" vertical="center" wrapText="1"/>
    </xf>
    <xf numFmtId="0" fontId="101" fillId="0" borderId="0" xfId="0" applyFont="1" applyAlignment="1">
      <alignment/>
    </xf>
    <xf numFmtId="49" fontId="102" fillId="0" borderId="14" xfId="0" applyNumberFormat="1" applyFont="1" applyBorder="1" applyAlignment="1">
      <alignment horizontal="center" vertical="center" wrapText="1"/>
    </xf>
    <xf numFmtId="0" fontId="102" fillId="0" borderId="14" xfId="0" applyFont="1" applyBorder="1" applyAlignment="1">
      <alignment horizontal="left" vertical="center" wrapText="1"/>
    </xf>
    <xf numFmtId="0" fontId="102" fillId="0" borderId="14" xfId="0" applyFont="1" applyBorder="1" applyAlignment="1">
      <alignment horizontal="center" vertical="center" wrapText="1"/>
    </xf>
    <xf numFmtId="3" fontId="102" fillId="0" borderId="14" xfId="0" applyNumberFormat="1" applyFont="1" applyBorder="1" applyAlignment="1">
      <alignment horizontal="center" vertical="center" wrapText="1"/>
    </xf>
    <xf numFmtId="43" fontId="102" fillId="0" borderId="14" xfId="42" applyFont="1" applyBorder="1" applyAlignment="1">
      <alignment horizontal="center" vertical="center" wrapText="1"/>
    </xf>
    <xf numFmtId="0" fontId="102" fillId="0" borderId="0" xfId="0" applyFont="1" applyAlignment="1">
      <alignment/>
    </xf>
    <xf numFmtId="49" fontId="101" fillId="0" borderId="14" xfId="0" applyNumberFormat="1" applyFont="1" applyFill="1" applyBorder="1" applyAlignment="1">
      <alignment horizontal="center" vertical="center" wrapText="1"/>
    </xf>
    <xf numFmtId="0" fontId="101" fillId="0" borderId="14" xfId="0" applyFont="1" applyFill="1" applyBorder="1" applyAlignment="1">
      <alignment horizontal="left" vertical="center" wrapText="1"/>
    </xf>
    <xf numFmtId="0" fontId="101" fillId="0" borderId="14" xfId="0" applyFont="1" applyFill="1" applyBorder="1" applyAlignment="1">
      <alignment horizontal="center" vertical="center" wrapText="1"/>
    </xf>
    <xf numFmtId="3" fontId="101" fillId="0" borderId="14" xfId="0" applyNumberFormat="1" applyFont="1" applyFill="1" applyBorder="1" applyAlignment="1">
      <alignment horizontal="center" vertical="center" wrapText="1"/>
    </xf>
    <xf numFmtId="0" fontId="101" fillId="0" borderId="0" xfId="0" applyFont="1" applyFill="1" applyAlignment="1">
      <alignment/>
    </xf>
    <xf numFmtId="49" fontId="103" fillId="0" borderId="14" xfId="0" applyNumberFormat="1" applyFont="1" applyFill="1" applyBorder="1" applyAlignment="1">
      <alignment horizontal="center" vertical="center" wrapText="1"/>
    </xf>
    <xf numFmtId="0" fontId="103" fillId="0" borderId="14" xfId="0" applyFont="1" applyFill="1" applyBorder="1" applyAlignment="1">
      <alignment horizontal="left" vertical="center" wrapText="1"/>
    </xf>
    <xf numFmtId="0" fontId="103" fillId="0" borderId="14" xfId="0" applyFont="1" applyFill="1" applyBorder="1" applyAlignment="1">
      <alignment horizontal="center" vertical="center" wrapText="1"/>
    </xf>
    <xf numFmtId="3" fontId="103" fillId="0" borderId="14" xfId="0" applyNumberFormat="1" applyFont="1" applyBorder="1" applyAlignment="1">
      <alignment horizontal="center" vertical="center" wrapText="1"/>
    </xf>
    <xf numFmtId="43" fontId="103" fillId="0" borderId="14" xfId="42" applyFont="1" applyBorder="1" applyAlignment="1">
      <alignment horizontal="center" vertical="center" wrapText="1"/>
    </xf>
    <xf numFmtId="3" fontId="103" fillId="0" borderId="14" xfId="0" applyNumberFormat="1" applyFont="1" applyFill="1" applyBorder="1" applyAlignment="1">
      <alignment horizontal="center" vertical="center" wrapText="1"/>
    </xf>
    <xf numFmtId="0" fontId="103" fillId="0" borderId="0" xfId="0" applyFont="1" applyFill="1" applyAlignment="1">
      <alignment/>
    </xf>
    <xf numFmtId="43" fontId="103" fillId="0" borderId="14" xfId="42" applyFont="1" applyFill="1" applyBorder="1" applyAlignment="1">
      <alignment horizontal="center" vertical="center" wrapText="1"/>
    </xf>
    <xf numFmtId="1" fontId="102" fillId="0" borderId="14" xfId="0" applyNumberFormat="1" applyFont="1" applyFill="1" applyBorder="1" applyAlignment="1">
      <alignment horizontal="center" vertical="center" wrapText="1"/>
    </xf>
    <xf numFmtId="0" fontId="102" fillId="0" borderId="14" xfId="0" applyFont="1" applyFill="1" applyBorder="1" applyAlignment="1">
      <alignment horizontal="left" vertical="center" wrapText="1"/>
    </xf>
    <xf numFmtId="0" fontId="102" fillId="0" borderId="14" xfId="0" applyFont="1" applyFill="1" applyBorder="1" applyAlignment="1">
      <alignment horizontal="center" vertical="center" wrapText="1"/>
    </xf>
    <xf numFmtId="3" fontId="102" fillId="0" borderId="14" xfId="0" applyNumberFormat="1" applyFont="1" applyFill="1" applyBorder="1" applyAlignment="1">
      <alignment horizontal="center" vertical="center" wrapText="1"/>
    </xf>
    <xf numFmtId="0" fontId="102" fillId="0" borderId="0" xfId="0" applyFont="1" applyFill="1" applyAlignment="1">
      <alignment/>
    </xf>
    <xf numFmtId="0" fontId="102" fillId="0" borderId="14" xfId="0" applyFont="1" applyFill="1" applyBorder="1" applyAlignment="1">
      <alignment/>
    </xf>
    <xf numFmtId="43" fontId="102" fillId="0" borderId="14" xfId="42" applyFont="1" applyFill="1" applyBorder="1" applyAlignment="1">
      <alignment horizontal="center" vertical="center" wrapText="1"/>
    </xf>
    <xf numFmtId="0" fontId="103" fillId="0" borderId="14" xfId="0" applyFont="1" applyFill="1" applyBorder="1" applyAlignment="1">
      <alignment/>
    </xf>
    <xf numFmtId="49" fontId="102" fillId="0" borderId="14" xfId="0" applyNumberFormat="1" applyFont="1" applyFill="1" applyBorder="1" applyAlignment="1">
      <alignment horizontal="center" vertical="center" wrapText="1"/>
    </xf>
    <xf numFmtId="0" fontId="102" fillId="0" borderId="16" xfId="0" applyFont="1" applyFill="1" applyBorder="1" applyAlignment="1">
      <alignment/>
    </xf>
    <xf numFmtId="49" fontId="102" fillId="0" borderId="15" xfId="0" applyNumberFormat="1" applyFont="1" applyFill="1" applyBorder="1" applyAlignment="1">
      <alignment horizontal="center" vertical="center" wrapText="1"/>
    </xf>
    <xf numFmtId="0" fontId="102" fillId="0" borderId="15" xfId="0" applyFont="1" applyFill="1" applyBorder="1" applyAlignment="1">
      <alignment horizontal="left" vertical="center" wrapText="1"/>
    </xf>
    <xf numFmtId="0" fontId="102" fillId="0" borderId="15" xfId="0" applyFont="1" applyFill="1" applyBorder="1" applyAlignment="1">
      <alignment horizontal="center" vertical="center" wrapText="1"/>
    </xf>
    <xf numFmtId="3" fontId="102" fillId="0" borderId="15" xfId="0" applyNumberFormat="1" applyFont="1" applyBorder="1" applyAlignment="1">
      <alignment horizontal="center" vertical="center" wrapText="1"/>
    </xf>
    <xf numFmtId="3" fontId="102" fillId="0" borderId="15" xfId="0" applyNumberFormat="1" applyFont="1" applyFill="1" applyBorder="1" applyAlignment="1">
      <alignment horizontal="center" vertical="center" wrapText="1"/>
    </xf>
    <xf numFmtId="0" fontId="102" fillId="0" borderId="15" xfId="0" applyFont="1" applyFill="1" applyBorder="1" applyAlignment="1">
      <alignment horizontal="center" vertical="center"/>
    </xf>
    <xf numFmtId="49" fontId="102" fillId="0" borderId="20" xfId="0" applyNumberFormat="1" applyFont="1" applyFill="1" applyBorder="1" applyAlignment="1">
      <alignment horizontal="center" vertical="center" wrapText="1"/>
    </xf>
    <xf numFmtId="0" fontId="102" fillId="0" borderId="20" xfId="0" applyFont="1" applyFill="1" applyBorder="1" applyAlignment="1">
      <alignment horizontal="left" vertical="center" wrapText="1"/>
    </xf>
    <xf numFmtId="0" fontId="102" fillId="0" borderId="20" xfId="0" applyFont="1" applyFill="1" applyBorder="1" applyAlignment="1">
      <alignment horizontal="center" vertical="center" wrapText="1"/>
    </xf>
    <xf numFmtId="3" fontId="102" fillId="0" borderId="20" xfId="0" applyNumberFormat="1" applyFont="1" applyFill="1" applyBorder="1" applyAlignment="1">
      <alignment horizontal="center" vertical="center" wrapText="1"/>
    </xf>
    <xf numFmtId="3" fontId="102" fillId="0" borderId="20" xfId="0" applyNumberFormat="1" applyFont="1" applyBorder="1" applyAlignment="1">
      <alignment horizontal="center" vertical="center" wrapText="1"/>
    </xf>
    <xf numFmtId="0" fontId="102" fillId="0" borderId="20" xfId="0" applyFont="1" applyFill="1" applyBorder="1" applyAlignment="1">
      <alignment/>
    </xf>
    <xf numFmtId="0" fontId="104" fillId="0" borderId="0" xfId="0" applyFont="1" applyAlignment="1">
      <alignment horizontal="center"/>
    </xf>
    <xf numFmtId="0" fontId="100" fillId="0" borderId="0" xfId="0" applyFont="1" applyAlignment="1">
      <alignment horizontal="justify"/>
    </xf>
    <xf numFmtId="0" fontId="104" fillId="0" borderId="0" xfId="0" applyFont="1" applyAlignment="1">
      <alignment/>
    </xf>
    <xf numFmtId="3" fontId="104" fillId="0" borderId="0" xfId="0" applyNumberFormat="1" applyFont="1" applyAlignment="1">
      <alignment horizontal="justify"/>
    </xf>
    <xf numFmtId="0" fontId="104" fillId="0" borderId="0" xfId="0" applyFont="1" applyBorder="1" applyAlignment="1">
      <alignment horizontal="center"/>
    </xf>
    <xf numFmtId="0" fontId="104" fillId="0" borderId="0" xfId="0" applyFont="1" applyBorder="1" applyAlignment="1">
      <alignment horizontal="justify"/>
    </xf>
    <xf numFmtId="0" fontId="104" fillId="0" borderId="0" xfId="0" applyFont="1" applyBorder="1" applyAlignment="1">
      <alignment/>
    </xf>
    <xf numFmtId="0" fontId="97" fillId="0" borderId="0" xfId="0" applyFont="1" applyBorder="1" applyAlignment="1">
      <alignment horizontal="center"/>
    </xf>
    <xf numFmtId="0" fontId="105" fillId="0" borderId="0" xfId="0" applyFont="1" applyBorder="1" applyAlignment="1">
      <alignment horizontal="justify"/>
    </xf>
    <xf numFmtId="0" fontId="97" fillId="0" borderId="0" xfId="0" applyFont="1" applyBorder="1" applyAlignment="1">
      <alignment/>
    </xf>
    <xf numFmtId="3" fontId="97" fillId="0" borderId="0" xfId="0" applyNumberFormat="1" applyFont="1" applyBorder="1" applyAlignment="1">
      <alignment/>
    </xf>
    <xf numFmtId="0" fontId="105" fillId="0" borderId="0" xfId="0" applyFont="1" applyAlignment="1">
      <alignment horizontal="justify"/>
    </xf>
    <xf numFmtId="3" fontId="97" fillId="0" borderId="0" xfId="0" applyNumberFormat="1" applyFont="1" applyAlignment="1">
      <alignment/>
    </xf>
    <xf numFmtId="0" fontId="105" fillId="0" borderId="0" xfId="0" applyFont="1" applyAlignment="1">
      <alignment wrapText="1"/>
    </xf>
    <xf numFmtId="0" fontId="106" fillId="0" borderId="0" xfId="0" applyFont="1" applyAlignment="1">
      <alignment horizontal="justify"/>
    </xf>
    <xf numFmtId="0" fontId="101" fillId="0" borderId="19" xfId="0" applyFont="1" applyBorder="1" applyAlignment="1">
      <alignment horizontal="center" vertical="center" wrapText="1"/>
    </xf>
    <xf numFmtId="3" fontId="101" fillId="0" borderId="19" xfId="0" applyNumberFormat="1" applyFont="1" applyBorder="1" applyAlignment="1">
      <alignment horizontal="center" vertical="center" wrapText="1"/>
    </xf>
    <xf numFmtId="0" fontId="107" fillId="0" borderId="20" xfId="0" applyFont="1" applyBorder="1" applyAlignment="1">
      <alignment horizontal="center" vertical="center" wrapText="1"/>
    </xf>
    <xf numFmtId="1" fontId="108" fillId="0" borderId="14" xfId="0" applyNumberFormat="1" applyFont="1" applyFill="1" applyBorder="1" applyAlignment="1">
      <alignment horizontal="center" vertical="center" wrapText="1"/>
    </xf>
    <xf numFmtId="0" fontId="108" fillId="0" borderId="14" xfId="0" applyFont="1" applyFill="1" applyBorder="1" applyAlignment="1">
      <alignment horizontal="left" vertical="center" wrapText="1"/>
    </xf>
    <xf numFmtId="0" fontId="108" fillId="0" borderId="14" xfId="0" applyFont="1" applyFill="1" applyBorder="1" applyAlignment="1">
      <alignment horizontal="center" vertical="center" wrapText="1"/>
    </xf>
    <xf numFmtId="3" fontId="108" fillId="0" borderId="14" xfId="0" applyNumberFormat="1" applyFont="1" applyBorder="1" applyAlignment="1">
      <alignment horizontal="center" vertical="center" wrapText="1"/>
    </xf>
    <xf numFmtId="3" fontId="108" fillId="0" borderId="14" xfId="0" applyNumberFormat="1" applyFont="1" applyFill="1" applyBorder="1" applyAlignment="1">
      <alignment horizontal="center" vertical="center" wrapText="1"/>
    </xf>
    <xf numFmtId="0" fontId="108" fillId="0" borderId="0" xfId="0" applyFont="1" applyFill="1" applyAlignment="1">
      <alignment/>
    </xf>
    <xf numFmtId="0" fontId="109" fillId="0" borderId="14" xfId="0" applyFont="1" applyBorder="1" applyAlignment="1">
      <alignment horizontal="center" vertical="center" wrapText="1"/>
    </xf>
    <xf numFmtId="0" fontId="109" fillId="0" borderId="14" xfId="0" applyFont="1" applyFill="1" applyBorder="1" applyAlignment="1">
      <alignment horizontal="left" vertical="center" wrapText="1"/>
    </xf>
    <xf numFmtId="3" fontId="109" fillId="0" borderId="14" xfId="0" applyNumberFormat="1" applyFont="1" applyFill="1" applyBorder="1" applyAlignment="1">
      <alignment horizontal="center" vertical="center" wrapText="1"/>
    </xf>
    <xf numFmtId="0" fontId="109" fillId="0" borderId="14" xfId="0" applyFont="1" applyFill="1" applyBorder="1" applyAlignment="1">
      <alignment horizontal="center" vertical="center" wrapText="1"/>
    </xf>
    <xf numFmtId="3" fontId="109" fillId="0" borderId="14" xfId="0" applyNumberFormat="1" applyFont="1" applyBorder="1" applyAlignment="1">
      <alignment horizontal="center" vertical="center" wrapText="1"/>
    </xf>
    <xf numFmtId="0" fontId="109" fillId="0" borderId="14" xfId="0" applyFont="1" applyFill="1" applyBorder="1" applyAlignment="1">
      <alignment horizontal="center" vertical="center"/>
    </xf>
    <xf numFmtId="3" fontId="109" fillId="0" borderId="14" xfId="0" applyNumberFormat="1" applyFont="1" applyFill="1" applyBorder="1" applyAlignment="1">
      <alignment horizontal="center" vertical="center"/>
    </xf>
    <xf numFmtId="0" fontId="109" fillId="0" borderId="0" xfId="0" applyFont="1" applyFill="1" applyAlignment="1">
      <alignment/>
    </xf>
    <xf numFmtId="3" fontId="110" fillId="0" borderId="14" xfId="0" applyNumberFormat="1" applyFont="1" applyBorder="1" applyAlignment="1">
      <alignment horizontal="center" vertical="center" wrapText="1"/>
    </xf>
    <xf numFmtId="0" fontId="110" fillId="0" borderId="14" xfId="0" applyFont="1" applyBorder="1" applyAlignment="1">
      <alignment horizontal="center" vertical="center" wrapText="1"/>
    </xf>
    <xf numFmtId="0" fontId="110" fillId="0" borderId="0" xfId="0" applyFont="1" applyAlignment="1">
      <alignment horizontal="center" vertical="center" wrapText="1"/>
    </xf>
    <xf numFmtId="0" fontId="108" fillId="0" borderId="14" xfId="0" applyFont="1" applyFill="1" applyBorder="1" applyAlignment="1">
      <alignment/>
    </xf>
    <xf numFmtId="49" fontId="108" fillId="0" borderId="14" xfId="0" applyNumberFormat="1" applyFont="1" applyFill="1" applyBorder="1" applyAlignment="1">
      <alignment horizontal="center" vertical="center" wrapText="1"/>
    </xf>
    <xf numFmtId="191" fontId="108" fillId="0" borderId="14" xfId="42" applyNumberFormat="1" applyFont="1" applyFill="1" applyBorder="1" applyAlignment="1">
      <alignment horizontal="center" vertical="center" wrapText="1"/>
    </xf>
    <xf numFmtId="49" fontId="109" fillId="0" borderId="14" xfId="0" applyNumberFormat="1" applyFont="1" applyFill="1" applyBorder="1" applyAlignment="1">
      <alignment horizontal="center" vertical="center" wrapText="1"/>
    </xf>
    <xf numFmtId="3" fontId="109" fillId="0" borderId="0" xfId="0" applyNumberFormat="1" applyFont="1" applyFill="1" applyAlignment="1">
      <alignment/>
    </xf>
    <xf numFmtId="191" fontId="108" fillId="0" borderId="14" xfId="42" applyNumberFormat="1" applyFont="1" applyBorder="1" applyAlignment="1">
      <alignment horizontal="center" vertical="center" wrapText="1"/>
    </xf>
    <xf numFmtId="0" fontId="107" fillId="0" borderId="0" xfId="0" applyFont="1" applyFill="1" applyBorder="1" applyAlignment="1">
      <alignment/>
    </xf>
    <xf numFmtId="0" fontId="7" fillId="0" borderId="0" xfId="0" applyFont="1" applyBorder="1" applyAlignment="1">
      <alignment horizontal="center"/>
    </xf>
    <xf numFmtId="0" fontId="7" fillId="0" borderId="0" xfId="0" applyFont="1" applyBorder="1" applyAlignment="1">
      <alignment/>
    </xf>
    <xf numFmtId="0" fontId="99" fillId="0" borderId="0" xfId="0" applyFont="1" applyFill="1" applyBorder="1" applyAlignment="1">
      <alignment vertical="center"/>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100" fillId="0" borderId="0" xfId="0" applyFont="1" applyBorder="1" applyAlignment="1">
      <alignment horizontal="center" vertical="center" wrapText="1"/>
    </xf>
    <xf numFmtId="0" fontId="107" fillId="0" borderId="0" xfId="0" applyFont="1" applyBorder="1" applyAlignment="1">
      <alignment horizontal="center" vertical="center" wrapText="1"/>
    </xf>
    <xf numFmtId="0" fontId="111" fillId="0" borderId="0" xfId="0" applyFont="1" applyBorder="1" applyAlignment="1">
      <alignment horizontal="center" vertical="center" wrapText="1"/>
    </xf>
    <xf numFmtId="0" fontId="112" fillId="0" borderId="0" xfId="0" applyFont="1" applyBorder="1" applyAlignment="1">
      <alignment horizontal="center" vertical="center" wrapText="1"/>
    </xf>
    <xf numFmtId="0" fontId="107" fillId="0" borderId="0" xfId="0" applyFont="1" applyBorder="1" applyAlignment="1">
      <alignment/>
    </xf>
    <xf numFmtId="0" fontId="113" fillId="0" borderId="0" xfId="0" applyFont="1" applyBorder="1" applyAlignment="1">
      <alignment/>
    </xf>
    <xf numFmtId="0" fontId="113" fillId="0" borderId="0" xfId="0" applyFont="1" applyFill="1" applyBorder="1" applyAlignment="1">
      <alignment/>
    </xf>
    <xf numFmtId="0" fontId="114" fillId="0" borderId="0" xfId="0" applyFont="1" applyBorder="1" applyAlignment="1">
      <alignment/>
    </xf>
    <xf numFmtId="0" fontId="114" fillId="0" borderId="0" xfId="0" applyFont="1" applyFill="1" applyBorder="1" applyAlignment="1">
      <alignment/>
    </xf>
    <xf numFmtId="0" fontId="115" fillId="0" borderId="0" xfId="0" applyFont="1" applyBorder="1" applyAlignment="1">
      <alignment/>
    </xf>
    <xf numFmtId="0" fontId="111" fillId="0" borderId="0" xfId="0" applyFont="1" applyFill="1" applyBorder="1" applyAlignment="1">
      <alignment/>
    </xf>
    <xf numFmtId="0" fontId="111" fillId="0" borderId="0" xfId="0" applyFont="1" applyBorder="1" applyAlignment="1">
      <alignment vertical="center"/>
    </xf>
    <xf numFmtId="0" fontId="111" fillId="0" borderId="0" xfId="0" applyFont="1" applyBorder="1" applyAlignment="1">
      <alignment/>
    </xf>
    <xf numFmtId="3" fontId="104" fillId="0" borderId="0" xfId="0" applyNumberFormat="1" applyFont="1" applyBorder="1" applyAlignment="1">
      <alignment horizontal="justify"/>
    </xf>
    <xf numFmtId="0" fontId="105" fillId="0" borderId="0" xfId="0" applyFont="1" applyBorder="1" applyAlignment="1">
      <alignment wrapText="1"/>
    </xf>
    <xf numFmtId="0" fontId="106" fillId="0" borderId="0" xfId="0" applyFont="1" applyBorder="1" applyAlignment="1">
      <alignment horizontal="justify"/>
    </xf>
    <xf numFmtId="0" fontId="115" fillId="0" borderId="0" xfId="0" applyFont="1" applyFill="1" applyBorder="1" applyAlignment="1">
      <alignment/>
    </xf>
    <xf numFmtId="0" fontId="14" fillId="0" borderId="12" xfId="0" applyFont="1" applyBorder="1" applyAlignment="1">
      <alignment horizontal="center" vertical="center" wrapText="1"/>
    </xf>
    <xf numFmtId="0" fontId="5" fillId="0" borderId="12" xfId="0" applyFont="1" applyFill="1" applyBorder="1" applyAlignment="1">
      <alignment vertical="center"/>
    </xf>
    <xf numFmtId="0" fontId="14" fillId="0" borderId="12" xfId="0" applyFont="1" applyBorder="1" applyAlignment="1">
      <alignment horizontal="center" vertical="center"/>
    </xf>
    <xf numFmtId="0" fontId="7" fillId="0" borderId="12" xfId="0" applyFont="1" applyBorder="1" applyAlignment="1">
      <alignment horizontal="center" vertical="center" wrapText="1"/>
    </xf>
    <xf numFmtId="3" fontId="14" fillId="0" borderId="12" xfId="0" applyNumberFormat="1" applyFont="1" applyBorder="1" applyAlignment="1">
      <alignment horizontal="center" vertical="center" wrapText="1"/>
    </xf>
    <xf numFmtId="0" fontId="14" fillId="0" borderId="12" xfId="0" applyFont="1" applyBorder="1" applyAlignment="1">
      <alignment horizontal="left" vertical="center" wrapText="1"/>
    </xf>
    <xf numFmtId="0" fontId="7" fillId="0" borderId="12" xfId="0" applyFont="1" applyBorder="1" applyAlignment="1">
      <alignment horizontal="left" vertical="center" wrapText="1"/>
    </xf>
    <xf numFmtId="3" fontId="7" fillId="0" borderId="12" xfId="0" applyNumberFormat="1" applyFont="1" applyBorder="1" applyAlignment="1">
      <alignment horizontal="center" vertical="center" wrapText="1"/>
    </xf>
    <xf numFmtId="3" fontId="7" fillId="0" borderId="12" xfId="0" applyNumberFormat="1" applyFont="1" applyFill="1" applyBorder="1" applyAlignment="1">
      <alignment horizontal="center" vertical="center" wrapText="1"/>
    </xf>
    <xf numFmtId="49" fontId="7" fillId="0" borderId="12" xfId="0" applyNumberFormat="1" applyFont="1" applyBorder="1" applyAlignment="1">
      <alignment horizontal="center" vertical="center" wrapText="1"/>
    </xf>
    <xf numFmtId="43" fontId="7" fillId="0" borderId="12" xfId="42" applyFont="1" applyBorder="1" applyAlignment="1">
      <alignment horizontal="center" vertical="center" wrapText="1"/>
    </xf>
    <xf numFmtId="191" fontId="7" fillId="0" borderId="12" xfId="42" applyNumberFormat="1" applyFont="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2" xfId="0" applyFont="1" applyFill="1" applyBorder="1" applyAlignment="1">
      <alignment horizontal="left" vertical="center" wrapText="1"/>
    </xf>
    <xf numFmtId="0" fontId="14" fillId="0" borderId="12" xfId="0" applyFont="1" applyFill="1" applyBorder="1" applyAlignment="1">
      <alignment horizontal="center" vertical="center" wrapText="1"/>
    </xf>
    <xf numFmtId="3" fontId="14"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43" fontId="7" fillId="0" borderId="12" xfId="42" applyFont="1" applyFill="1" applyBorder="1" applyAlignment="1">
      <alignment horizontal="center" vertical="center" wrapText="1"/>
    </xf>
    <xf numFmtId="0" fontId="14" fillId="0" borderId="12" xfId="0" applyFont="1" applyBorder="1" applyAlignment="1">
      <alignment horizontal="justify" vertical="center"/>
    </xf>
    <xf numFmtId="0" fontId="7" fillId="0" borderId="12" xfId="0" applyFont="1" applyBorder="1" applyAlignment="1">
      <alignment/>
    </xf>
    <xf numFmtId="0" fontId="14" fillId="0" borderId="12" xfId="0" applyFont="1" applyBorder="1" applyAlignment="1">
      <alignment/>
    </xf>
    <xf numFmtId="0" fontId="14" fillId="0" borderId="12" xfId="0" applyFont="1" applyBorder="1" applyAlignment="1">
      <alignment horizontal="justify"/>
    </xf>
    <xf numFmtId="3" fontId="14" fillId="0" borderId="12" xfId="0" applyNumberFormat="1" applyFont="1" applyBorder="1" applyAlignment="1">
      <alignment vertical="center"/>
    </xf>
    <xf numFmtId="3" fontId="14" fillId="0" borderId="12" xfId="0" applyNumberFormat="1" applyFont="1" applyBorder="1" applyAlignment="1">
      <alignment/>
    </xf>
    <xf numFmtId="3" fontId="7" fillId="0" borderId="12" xfId="0" applyNumberFormat="1" applyFont="1" applyBorder="1" applyAlignment="1">
      <alignment horizontal="justify"/>
    </xf>
    <xf numFmtId="3" fontId="7" fillId="0" borderId="12" xfId="0" applyNumberFormat="1" applyFont="1" applyBorder="1" applyAlignment="1">
      <alignment vertical="center"/>
    </xf>
    <xf numFmtId="0" fontId="7" fillId="0" borderId="12" xfId="0" applyFont="1" applyBorder="1" applyAlignment="1">
      <alignment horizontal="justify"/>
    </xf>
    <xf numFmtId="0" fontId="14" fillId="0" borderId="12" xfId="0" applyFont="1" applyBorder="1" applyAlignment="1">
      <alignment horizontal="center"/>
    </xf>
    <xf numFmtId="3" fontId="7" fillId="0" borderId="12" xfId="0" applyNumberFormat="1" applyFont="1" applyBorder="1" applyAlignment="1">
      <alignment/>
    </xf>
    <xf numFmtId="49" fontId="14" fillId="0" borderId="12" xfId="0" applyNumberFormat="1" applyFont="1" applyBorder="1" applyAlignment="1">
      <alignment horizontal="center" vertical="center" wrapText="1"/>
    </xf>
    <xf numFmtId="1" fontId="7" fillId="0" borderId="12" xfId="0" applyNumberFormat="1" applyFont="1" applyFill="1" applyBorder="1" applyAlignment="1">
      <alignment horizontal="center" vertical="center" wrapText="1"/>
    </xf>
    <xf numFmtId="0" fontId="7" fillId="0" borderId="12" xfId="0" applyFont="1" applyFill="1" applyBorder="1" applyAlignment="1">
      <alignment/>
    </xf>
    <xf numFmtId="1" fontId="14" fillId="0" borderId="12" xfId="0" applyNumberFormat="1" applyFont="1" applyFill="1" applyBorder="1" applyAlignment="1">
      <alignment horizontal="center" vertical="center" wrapText="1"/>
    </xf>
    <xf numFmtId="0" fontId="14" fillId="0" borderId="12" xfId="0" applyFont="1" applyFill="1" applyBorder="1" applyAlignment="1">
      <alignment/>
    </xf>
    <xf numFmtId="0" fontId="14" fillId="0" borderId="12" xfId="0" applyFont="1" applyFill="1" applyBorder="1" applyAlignment="1">
      <alignment horizontal="center" vertical="center"/>
    </xf>
    <xf numFmtId="0" fontId="14" fillId="0" borderId="12" xfId="0" applyFont="1" applyFill="1" applyBorder="1" applyAlignment="1">
      <alignment horizontal="justify"/>
    </xf>
    <xf numFmtId="3" fontId="14" fillId="0" borderId="12" xfId="0" applyNumberFormat="1" applyFont="1" applyFill="1" applyBorder="1" applyAlignment="1">
      <alignment vertical="center"/>
    </xf>
    <xf numFmtId="0" fontId="14" fillId="0" borderId="12" xfId="0" applyFont="1" applyFill="1" applyBorder="1" applyAlignment="1">
      <alignment vertical="center"/>
    </xf>
    <xf numFmtId="0" fontId="7" fillId="0" borderId="12" xfId="0" applyFont="1" applyBorder="1" applyAlignment="1">
      <alignment horizontal="center" vertical="center"/>
    </xf>
    <xf numFmtId="0" fontId="7" fillId="0" borderId="12" xfId="0" applyFont="1" applyBorder="1" applyAlignment="1">
      <alignment horizontal="justify" vertical="center"/>
    </xf>
    <xf numFmtId="0" fontId="7" fillId="0" borderId="12" xfId="0" applyFont="1" applyFill="1" applyBorder="1" applyAlignment="1">
      <alignment horizontal="center" vertical="center"/>
    </xf>
    <xf numFmtId="0" fontId="7" fillId="0" borderId="12" xfId="0" applyFont="1" applyBorder="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49" fontId="5" fillId="0" borderId="10"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6" fillId="0" borderId="0" xfId="0" applyFont="1" applyFill="1" applyAlignment="1">
      <alignment horizontal="center" vertical="center"/>
    </xf>
    <xf numFmtId="0" fontId="3" fillId="0" borderId="0" xfId="0" applyFont="1" applyAlignment="1">
      <alignment horizontal="center" wrapText="1"/>
    </xf>
    <xf numFmtId="0" fontId="1" fillId="0" borderId="0" xfId="0" applyFont="1" applyAlignment="1">
      <alignment horizontal="center" wrapText="1"/>
    </xf>
    <xf numFmtId="0" fontId="14"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3" fontId="19" fillId="0" borderId="21" xfId="62" applyNumberFormat="1" applyFont="1" applyFill="1" applyBorder="1" applyAlignment="1">
      <alignment horizontal="center" vertical="center" wrapText="1"/>
      <protection/>
    </xf>
    <xf numFmtId="3" fontId="19" fillId="0" borderId="22" xfId="62" applyNumberFormat="1" applyFont="1" applyFill="1" applyBorder="1" applyAlignment="1">
      <alignment horizontal="center" vertical="center" wrapText="1"/>
      <protection/>
    </xf>
    <xf numFmtId="3" fontId="19" fillId="0" borderId="21" xfId="62" applyNumberFormat="1" applyFont="1" applyBorder="1" applyAlignment="1">
      <alignment horizontal="center" vertical="center" wrapText="1"/>
      <protection/>
    </xf>
    <xf numFmtId="3" fontId="19" fillId="0" borderId="22" xfId="62" applyNumberFormat="1" applyFont="1" applyBorder="1" applyAlignment="1">
      <alignment horizontal="center" vertical="center" wrapText="1"/>
      <protection/>
    </xf>
    <xf numFmtId="3" fontId="19" fillId="0" borderId="24" xfId="62" applyNumberFormat="1" applyFont="1" applyFill="1" applyBorder="1" applyAlignment="1">
      <alignment horizontal="center" vertical="center" wrapText="1"/>
      <protection/>
    </xf>
    <xf numFmtId="3" fontId="19" fillId="0" borderId="25" xfId="62" applyNumberFormat="1" applyFont="1" applyFill="1" applyBorder="1" applyAlignment="1">
      <alignment horizontal="center" vertical="center" wrapText="1"/>
      <protection/>
    </xf>
    <xf numFmtId="3" fontId="19" fillId="0" borderId="26" xfId="62" applyNumberFormat="1" applyFont="1" applyFill="1" applyBorder="1" applyAlignment="1">
      <alignment horizontal="center" vertical="center" wrapText="1"/>
      <protection/>
    </xf>
    <xf numFmtId="3" fontId="19" fillId="0" borderId="27" xfId="62" applyNumberFormat="1" applyFont="1" applyFill="1" applyBorder="1" applyAlignment="1">
      <alignment horizontal="center" vertical="center" wrapText="1"/>
      <protection/>
    </xf>
    <xf numFmtId="3" fontId="19" fillId="0" borderId="12" xfId="62" applyNumberFormat="1" applyFont="1" applyBorder="1" applyAlignment="1">
      <alignment horizontal="center" vertical="center" wrapText="1"/>
      <protection/>
    </xf>
    <xf numFmtId="3" fontId="19" fillId="0" borderId="12" xfId="62" applyNumberFormat="1" applyFont="1" applyFill="1" applyBorder="1" applyAlignment="1">
      <alignment horizontal="center" vertical="center" wrapText="1"/>
      <protection/>
    </xf>
    <xf numFmtId="3" fontId="19" fillId="0" borderId="23" xfId="62" applyNumberFormat="1" applyFont="1" applyFill="1" applyBorder="1" applyAlignment="1">
      <alignment horizontal="center" vertical="center" wrapText="1"/>
      <protection/>
    </xf>
    <xf numFmtId="1" fontId="12" fillId="0" borderId="0" xfId="62" applyNumberFormat="1" applyFont="1" applyFill="1" applyAlignment="1">
      <alignment horizontal="center" vertical="center" wrapText="1"/>
      <protection/>
    </xf>
    <xf numFmtId="1" fontId="6" fillId="0" borderId="0" xfId="62" applyNumberFormat="1" applyFont="1" applyFill="1" applyAlignment="1">
      <alignment horizontal="center" vertical="center" wrapText="1"/>
      <protection/>
    </xf>
    <xf numFmtId="1" fontId="13" fillId="0" borderId="10" xfId="62" applyNumberFormat="1" applyFont="1" applyFill="1" applyBorder="1" applyAlignment="1">
      <alignment horizontal="center" vertical="center" wrapText="1"/>
      <protection/>
    </xf>
    <xf numFmtId="1" fontId="13" fillId="0" borderId="10" xfId="62" applyNumberFormat="1" applyFont="1" applyFill="1" applyBorder="1" applyAlignment="1">
      <alignment horizontal="center" vertical="center"/>
      <protection/>
    </xf>
    <xf numFmtId="3" fontId="19" fillId="0" borderId="11" xfId="62" applyNumberFormat="1" applyFont="1" applyBorder="1" applyAlignment="1">
      <alignment horizontal="center" vertical="center" wrapText="1"/>
      <protection/>
    </xf>
    <xf numFmtId="3" fontId="19" fillId="0" borderId="20" xfId="62" applyNumberFormat="1" applyFont="1" applyBorder="1" applyAlignment="1">
      <alignment horizontal="center" vertical="center" wrapText="1"/>
      <protection/>
    </xf>
    <xf numFmtId="0" fontId="35"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2"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12" xfId="0" applyFont="1" applyBorder="1" applyAlignment="1">
      <alignment horizontal="center" vertical="center" wrapText="1"/>
    </xf>
    <xf numFmtId="0" fontId="0" fillId="0" borderId="12" xfId="0" applyBorder="1" applyAlignment="1">
      <alignment vertical="center"/>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44" fillId="0" borderId="23" xfId="0" applyFont="1" applyBorder="1" applyAlignment="1">
      <alignment/>
    </xf>
    <xf numFmtId="0" fontId="44" fillId="0" borderId="22" xfId="0" applyFont="1" applyBorder="1" applyAlignment="1">
      <alignment/>
    </xf>
    <xf numFmtId="0" fontId="5"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07" fillId="0" borderId="13" xfId="0" applyFont="1" applyBorder="1" applyAlignment="1">
      <alignment horizontal="center" vertical="center" wrapText="1"/>
    </xf>
    <xf numFmtId="0" fontId="107" fillId="0" borderId="15" xfId="0" applyFont="1" applyBorder="1" applyAlignment="1">
      <alignment horizontal="center" vertical="center" wrapText="1"/>
    </xf>
    <xf numFmtId="0" fontId="107" fillId="0" borderId="12" xfId="0" applyFont="1" applyBorder="1" applyAlignment="1">
      <alignment horizontal="center" vertical="center" wrapText="1"/>
    </xf>
    <xf numFmtId="0" fontId="97" fillId="0" borderId="12" xfId="0" applyFont="1" applyBorder="1" applyAlignment="1">
      <alignment/>
    </xf>
    <xf numFmtId="0" fontId="113" fillId="0" borderId="15" xfId="0" applyFont="1" applyBorder="1" applyAlignment="1">
      <alignment horizontal="center" vertical="center" wrapText="1"/>
    </xf>
    <xf numFmtId="0" fontId="100" fillId="0" borderId="13" xfId="0" applyFont="1" applyBorder="1" applyAlignment="1">
      <alignment horizontal="center" vertical="center" wrapText="1"/>
    </xf>
    <xf numFmtId="0" fontId="104" fillId="0" borderId="15" xfId="0" applyFont="1" applyBorder="1" applyAlignment="1">
      <alignment horizontal="center" vertical="center" wrapText="1"/>
    </xf>
    <xf numFmtId="0" fontId="98" fillId="0" borderId="0" xfId="0" applyFont="1" applyAlignment="1">
      <alignment horizontal="center"/>
    </xf>
    <xf numFmtId="0" fontId="116" fillId="0" borderId="0" xfId="0" applyFont="1" applyBorder="1" applyAlignment="1">
      <alignment horizontal="center" vertical="center" wrapText="1"/>
    </xf>
    <xf numFmtId="0" fontId="99" fillId="0" borderId="0" xfId="0" applyFont="1" applyFill="1" applyBorder="1" applyAlignment="1">
      <alignment horizontal="center" vertical="center" wrapText="1"/>
    </xf>
    <xf numFmtId="0" fontId="99" fillId="0" borderId="0"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2" xfId="60"/>
    <cellStyle name="Normal 5" xfId="61"/>
    <cellStyle name="Normal_Bieu mau (CV )"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D%20KH%20nganh%202016-2020\KH%20cac%20don%20vi\Ban%20quan%20ly%20di%20tich\KH%202015-2020\bieu%20thuc%20hien%202011-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XD%20KH%20nganh%202016-2020\DT%20KH%20TOAN%20NGANH\KH%202016-2020%20(TH%20Thang%209-2014)\BC%20&#273;a%20duyet%20(t9-2014)\Bieu%20KH%202016-2020%20(S&#432;a%20lai%20ngay%2025-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XD%20KH%20nganh%202016-2020\Kh%205nam%2020162020%20(t11-2015)\TH%20toan%20nganh\Bieu%20KH%202016-2020%20(D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258;M%202015\KE%20HOACH\XD%20KH%202016\KH%20toan%20nganh\KH%20thang%2011\THop%20nganh\BIEU%20KH%20%20n&#259;m%202016%20(T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AC%20CHUONG%20TRINH-DE%20AN\DE%20AN%20BAO%20TON%20VA%20PHAT%20HUY%20DI%20TICH%20CHIEN%20TRUONG%20DBP\De%20an%20sua%20lai%20(8-8)\Phu%20Bieu%20(kem%20de%20a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Administrator\Desktop\Phu%20Bieu%20(kem%20theo)%20-%20Khanh%20(1)phuo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J7">
            <v>14440.3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N"/>
      <sheetName val="ĐT"/>
      <sheetName val="NS"/>
      <sheetName val="KQ 2011-2015"/>
      <sheetName val="DA 2011-2015"/>
    </sheetNames>
    <sheetDataSet>
      <sheetData sheetId="3">
        <row r="9">
          <cell r="J9">
            <v>59.988255119236065</v>
          </cell>
        </row>
        <row r="11">
          <cell r="J11">
            <v>85.4</v>
          </cell>
        </row>
        <row r="12">
          <cell r="J12">
            <v>0</v>
          </cell>
        </row>
        <row r="13">
          <cell r="J13" t="str">
            <v>31,6</v>
          </cell>
        </row>
        <row r="19">
          <cell r="J19">
            <v>100</v>
          </cell>
        </row>
        <row r="26">
          <cell r="J26">
            <v>0</v>
          </cell>
        </row>
        <row r="27">
          <cell r="J27">
            <v>17</v>
          </cell>
        </row>
        <row r="28">
          <cell r="J28">
            <v>3</v>
          </cell>
        </row>
        <row r="32">
          <cell r="J32">
            <v>17299</v>
          </cell>
        </row>
        <row r="39">
          <cell r="J39">
            <v>0</v>
          </cell>
        </row>
        <row r="40">
          <cell r="J40">
            <v>400</v>
          </cell>
        </row>
        <row r="41">
          <cell r="J41">
            <v>70</v>
          </cell>
        </row>
        <row r="42">
          <cell r="J42">
            <v>330</v>
          </cell>
        </row>
        <row r="43">
          <cell r="J43">
            <v>500</v>
          </cell>
        </row>
        <row r="44">
          <cell r="J44">
            <v>2.3</v>
          </cell>
        </row>
        <row r="45">
          <cell r="J45">
            <v>2.3</v>
          </cell>
        </row>
        <row r="63">
          <cell r="D63">
            <v>30</v>
          </cell>
        </row>
        <row r="97">
          <cell r="J97" t="str">
            <v>1/300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H 2016-2020"/>
      <sheetName val="ĐT"/>
      <sheetName val="NS"/>
      <sheetName val="KQ 2011-2015"/>
      <sheetName val="DA 2011-2015"/>
      <sheetName val="QH 2011-2015"/>
      <sheetName val="QH 2016-2020"/>
    </sheetNames>
    <sheetDataSet>
      <sheetData sheetId="3">
        <row r="10">
          <cell r="J10">
            <v>50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XXXXXXXX"/>
      <sheetName val="XXXXXXX0"/>
      <sheetName val="XXXXXXX1"/>
      <sheetName val="XXXXXXX2"/>
      <sheetName val="XXXXXXX3"/>
      <sheetName val="XXXXXXX4"/>
      <sheetName val="XXXXXXX5"/>
      <sheetName val="XXXXXXX6"/>
      <sheetName val="XXXXXXX7"/>
      <sheetName val="XXXXXXX8"/>
      <sheetName val="B01-CHI TIEU SN 2016"/>
      <sheetName val="KP DA"/>
      <sheetName val="CTMT"/>
      <sheetName val="Bieu6MTQG"/>
      <sheetName val="Sheet4"/>
      <sheetName val="Bieu7MTQG"/>
      <sheetName val="Bieu10-No dong XDCB"/>
      <sheetName val="Bieu13TWKH"/>
      <sheetName val="Bieu16HTMT KH"/>
      <sheetName val="2016-2020"/>
      <sheetName val="2011-2015"/>
      <sheetName val="DA quy hoach"/>
      <sheetName val="Sheet1"/>
      <sheetName val="DK giao 2016"/>
    </sheetNames>
    <sheetDataSet>
      <sheetData sheetId="20">
        <row r="49">
          <cell r="J49">
            <v>2378.1400000000003</v>
          </cell>
        </row>
        <row r="50">
          <cell r="J50">
            <v>2098.402</v>
          </cell>
        </row>
        <row r="51">
          <cell r="J51">
            <v>82.24</v>
          </cell>
        </row>
        <row r="52">
          <cell r="J52">
            <v>601</v>
          </cell>
        </row>
        <row r="53">
          <cell r="J53">
            <v>6950</v>
          </cell>
        </row>
        <row r="54">
          <cell r="J54">
            <v>932</v>
          </cell>
        </row>
        <row r="57">
          <cell r="J57">
            <v>6</v>
          </cell>
        </row>
        <row r="58">
          <cell r="J58">
            <v>40</v>
          </cell>
        </row>
        <row r="59">
          <cell r="J59">
            <v>585</v>
          </cell>
        </row>
        <row r="61">
          <cell r="J61">
            <v>920</v>
          </cell>
        </row>
        <row r="68">
          <cell r="J68">
            <v>1267</v>
          </cell>
        </row>
        <row r="69">
          <cell r="J69">
            <v>17638</v>
          </cell>
        </row>
        <row r="70">
          <cell r="J70">
            <v>1960</v>
          </cell>
        </row>
        <row r="87">
          <cell r="J87">
            <v>37.69230769230769</v>
          </cell>
        </row>
        <row r="88">
          <cell r="J88">
            <v>49</v>
          </cell>
        </row>
        <row r="89">
          <cell r="J89">
            <v>9.29054054054054</v>
          </cell>
        </row>
        <row r="90">
          <cell r="J90">
            <v>165</v>
          </cell>
        </row>
        <row r="91">
          <cell r="J91">
            <v>100</v>
          </cell>
        </row>
        <row r="149">
          <cell r="J149">
            <v>5</v>
          </cell>
        </row>
        <row r="162">
          <cell r="J162">
            <v>134500</v>
          </cell>
        </row>
        <row r="163">
          <cell r="J163" t="str">
            <v>24,7</v>
          </cell>
        </row>
        <row r="164">
          <cell r="J164">
            <v>17300</v>
          </cell>
        </row>
        <row r="165">
          <cell r="J165">
            <v>15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H 2016-2020"/>
      <sheetName val="ĐT"/>
      <sheetName val="NS"/>
      <sheetName val="Bieu 01"/>
      <sheetName val="Bieu 02"/>
      <sheetName val="DA 2011-2015"/>
      <sheetName val="Bieu 03"/>
      <sheetName val="Bieu 04"/>
      <sheetName val="Sheet1"/>
    </sheetNames>
    <sheetDataSet>
      <sheetData sheetId="6">
        <row r="18">
          <cell r="B18" t="str">
            <v>Đầu tư bảo tồn , tôn tạo các điểm di tích khác có khả năng phục hồi</v>
          </cell>
        </row>
        <row r="27">
          <cell r="B27" t="str">
            <v>Đầu tư bổ sung một số hạng mục tại Đồi 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KH 2016-2020"/>
      <sheetName val="ĐT"/>
      <sheetName val="NS"/>
      <sheetName val="Bieu 01"/>
      <sheetName val="Bieu 02"/>
      <sheetName val="DA 2011-2015"/>
      <sheetName val="Bieu 03"/>
      <sheetName val="Bieu 04"/>
      <sheetName val="Sheet1"/>
    </sheetNames>
    <sheetDataSet>
      <sheetData sheetId="7">
        <row r="11">
          <cell r="E11">
            <v>24779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193"/>
  <sheetViews>
    <sheetView zoomScalePageLayoutView="0" workbookViewId="0" topLeftCell="A1">
      <pane xSplit="4" ySplit="3" topLeftCell="E85" activePane="bottomRight" state="frozen"/>
      <selection pane="topLeft" activeCell="A1" sqref="A1"/>
      <selection pane="topRight" activeCell="E1" sqref="E1"/>
      <selection pane="bottomLeft" activeCell="A5" sqref="A5"/>
      <selection pane="bottomRight" activeCell="G78" sqref="G78"/>
    </sheetView>
  </sheetViews>
  <sheetFormatPr defaultColWidth="9.140625" defaultRowHeight="12.75"/>
  <cols>
    <col min="1" max="1" width="5.8515625" style="57" customWidth="1"/>
    <col min="2" max="2" width="39.7109375" style="2" customWidth="1"/>
    <col min="3" max="3" width="11.421875" style="3" customWidth="1"/>
    <col min="4" max="4" width="13.421875" style="3" customWidth="1"/>
    <col min="5" max="5" width="10.8515625" style="580" customWidth="1"/>
    <col min="6" max="6" width="11.421875" style="1" customWidth="1"/>
    <col min="7" max="7" width="10.421875" style="1" customWidth="1"/>
    <col min="8" max="8" width="11.140625" style="1" customWidth="1"/>
    <col min="9" max="9" width="11.7109375" style="1" customWidth="1"/>
    <col min="10" max="10" width="12.8515625" style="1" customWidth="1"/>
    <col min="11" max="11" width="6.421875" style="1" customWidth="1"/>
    <col min="12" max="15" width="9.140625" style="1" customWidth="1"/>
    <col min="16" max="16" width="10.8515625" style="1" customWidth="1"/>
    <col min="17" max="21" width="14.00390625" style="1" customWidth="1"/>
    <col min="22" max="16384" width="9.140625" style="1" customWidth="1"/>
  </cols>
  <sheetData>
    <row r="1" spans="1:10" ht="28.5" customHeight="1">
      <c r="A1" s="828" t="s">
        <v>13</v>
      </c>
      <c r="B1" s="829"/>
      <c r="C1" s="829"/>
      <c r="D1" s="829"/>
      <c r="E1" s="829"/>
      <c r="F1" s="829"/>
      <c r="G1" s="829"/>
      <c r="H1" s="829"/>
      <c r="I1" s="829"/>
      <c r="J1" s="829"/>
    </row>
    <row r="2" spans="1:10" ht="16.5" customHeight="1">
      <c r="A2" s="830" t="s">
        <v>640</v>
      </c>
      <c r="B2" s="830"/>
      <c r="C2" s="830"/>
      <c r="D2" s="830"/>
      <c r="E2" s="830"/>
      <c r="F2" s="830"/>
      <c r="G2" s="830"/>
      <c r="H2" s="830"/>
      <c r="I2" s="830"/>
      <c r="J2" s="830"/>
    </row>
    <row r="3" spans="1:10" s="7" customFormat="1" ht="51" customHeight="1">
      <c r="A3" s="58" t="s">
        <v>0</v>
      </c>
      <c r="B3" s="21" t="s">
        <v>1</v>
      </c>
      <c r="C3" s="21" t="s">
        <v>2</v>
      </c>
      <c r="D3" s="22" t="s">
        <v>229</v>
      </c>
      <c r="E3" s="550" t="s">
        <v>3</v>
      </c>
      <c r="F3" s="22" t="s">
        <v>4</v>
      </c>
      <c r="G3" s="22" t="s">
        <v>5</v>
      </c>
      <c r="H3" s="22" t="s">
        <v>6</v>
      </c>
      <c r="I3" s="22" t="s">
        <v>7</v>
      </c>
      <c r="J3" s="22" t="s">
        <v>8</v>
      </c>
    </row>
    <row r="4" spans="1:22" s="9" customFormat="1" ht="29.25" customHeight="1">
      <c r="A4" s="59" t="s">
        <v>9</v>
      </c>
      <c r="B4" s="26" t="s">
        <v>21</v>
      </c>
      <c r="C4" s="66"/>
      <c r="D4" s="486"/>
      <c r="E4" s="551"/>
      <c r="F4" s="487"/>
      <c r="G4" s="487"/>
      <c r="H4" s="487"/>
      <c r="I4" s="487"/>
      <c r="J4" s="23"/>
      <c r="K4" s="8"/>
      <c r="M4" s="10"/>
      <c r="N4" s="8"/>
      <c r="P4" s="10"/>
      <c r="Q4" s="8"/>
      <c r="S4" s="10"/>
      <c r="T4" s="8"/>
      <c r="V4" s="10"/>
    </row>
    <row r="5" spans="1:22" ht="29.25" customHeight="1">
      <c r="A5" s="60" t="s">
        <v>19</v>
      </c>
      <c r="B5" s="27" t="s">
        <v>22</v>
      </c>
      <c r="C5" s="67"/>
      <c r="D5" s="488"/>
      <c r="E5" s="552"/>
      <c r="F5" s="489"/>
      <c r="G5" s="489"/>
      <c r="H5" s="489"/>
      <c r="I5" s="489"/>
      <c r="J5" s="73"/>
      <c r="K5" s="11"/>
      <c r="M5" s="12"/>
      <c r="N5" s="11"/>
      <c r="P5" s="12"/>
      <c r="Q5" s="11"/>
      <c r="S5" s="12"/>
      <c r="T5" s="11"/>
      <c r="V5" s="12"/>
    </row>
    <row r="6" spans="1:22" s="14" customFormat="1" ht="29.25" customHeight="1">
      <c r="A6" s="61">
        <v>1</v>
      </c>
      <c r="B6" s="84" t="s">
        <v>68</v>
      </c>
      <c r="C6" s="68" t="s">
        <v>136</v>
      </c>
      <c r="D6" s="490" t="e">
        <f aca="true" t="shared" si="0" ref="D6:J6">D86</f>
        <v>#REF!</v>
      </c>
      <c r="E6" s="553" t="str">
        <f t="shared" si="0"/>
        <v>5,2</v>
      </c>
      <c r="F6" s="490">
        <f t="shared" si="0"/>
        <v>6</v>
      </c>
      <c r="G6" s="491" t="str">
        <f t="shared" si="0"/>
        <v>6,9</v>
      </c>
      <c r="H6" s="491" t="str">
        <f t="shared" si="0"/>
        <v>7,8</v>
      </c>
      <c r="I6" s="491" t="str">
        <f t="shared" si="0"/>
        <v>8,6</v>
      </c>
      <c r="J6" s="491" t="str">
        <f t="shared" si="0"/>
        <v>8,6</v>
      </c>
      <c r="K6" s="13"/>
      <c r="M6" s="15"/>
      <c r="N6" s="13"/>
      <c r="P6" s="15"/>
      <c r="Q6" s="16"/>
      <c r="R6" s="17"/>
      <c r="S6" s="18"/>
      <c r="T6" s="16"/>
      <c r="U6" s="17"/>
      <c r="V6" s="15"/>
    </row>
    <row r="7" spans="1:22" s="14" customFormat="1" ht="29.25" customHeight="1">
      <c r="A7" s="61" t="s">
        <v>133</v>
      </c>
      <c r="B7" s="84" t="s">
        <v>177</v>
      </c>
      <c r="C7" s="68" t="s">
        <v>136</v>
      </c>
      <c r="D7" s="490" t="e">
        <f>D88</f>
        <v>#REF!</v>
      </c>
      <c r="E7" s="554">
        <f aca="true" t="shared" si="1" ref="E7:J7">E88</f>
        <v>35.714285714285715</v>
      </c>
      <c r="F7" s="490">
        <f t="shared" si="1"/>
        <v>35.714285714285715</v>
      </c>
      <c r="G7" s="490">
        <f t="shared" si="1"/>
        <v>42.857142857142854</v>
      </c>
      <c r="H7" s="490">
        <f t="shared" si="1"/>
        <v>42.857142857142854</v>
      </c>
      <c r="I7" s="490">
        <f t="shared" si="1"/>
        <v>50</v>
      </c>
      <c r="J7" s="490">
        <f t="shared" si="1"/>
        <v>50</v>
      </c>
      <c r="K7" s="13"/>
      <c r="M7" s="15"/>
      <c r="N7" s="13"/>
      <c r="P7" s="15"/>
      <c r="Q7" s="16"/>
      <c r="R7" s="17"/>
      <c r="S7" s="18"/>
      <c r="T7" s="16"/>
      <c r="U7" s="17"/>
      <c r="V7" s="15"/>
    </row>
    <row r="8" spans="1:10" s="14" customFormat="1" ht="34.5" customHeight="1">
      <c r="A8" s="61" t="s">
        <v>134</v>
      </c>
      <c r="B8" s="28" t="s">
        <v>23</v>
      </c>
      <c r="C8" s="68" t="s">
        <v>136</v>
      </c>
      <c r="D8" s="491">
        <f>'[2]KQ 2011-2015'!J9</f>
        <v>59.988255119236065</v>
      </c>
      <c r="E8" s="555">
        <f aca="true" t="shared" si="2" ref="E8:J8">E78</f>
        <v>62</v>
      </c>
      <c r="F8" s="489">
        <f t="shared" si="2"/>
        <v>64</v>
      </c>
      <c r="G8" s="489">
        <f t="shared" si="2"/>
        <v>66</v>
      </c>
      <c r="H8" s="489">
        <f t="shared" si="2"/>
        <v>68</v>
      </c>
      <c r="I8" s="489">
        <f t="shared" si="2"/>
        <v>70</v>
      </c>
      <c r="J8" s="489">
        <f t="shared" si="2"/>
        <v>70</v>
      </c>
    </row>
    <row r="9" spans="1:10" s="14" customFormat="1" ht="33.75" customHeight="1">
      <c r="A9" s="61" t="s">
        <v>135</v>
      </c>
      <c r="B9" s="28" t="s">
        <v>24</v>
      </c>
      <c r="C9" s="68" t="s">
        <v>136</v>
      </c>
      <c r="D9" s="491">
        <f>'[3]KQ 2011-2015'!J10</f>
        <v>50</v>
      </c>
      <c r="E9" s="555">
        <f aca="true" t="shared" si="3" ref="E9:J9">E81</f>
        <v>50.8</v>
      </c>
      <c r="F9" s="489" t="str">
        <f t="shared" si="3"/>
        <v>52,2</v>
      </c>
      <c r="G9" s="489">
        <f t="shared" si="3"/>
        <v>53</v>
      </c>
      <c r="H9" s="489">
        <f t="shared" si="3"/>
        <v>54</v>
      </c>
      <c r="I9" s="489">
        <f t="shared" si="3"/>
        <v>55</v>
      </c>
      <c r="J9" s="489">
        <f t="shared" si="3"/>
        <v>55</v>
      </c>
    </row>
    <row r="10" spans="1:10" s="9" customFormat="1" ht="33.75" customHeight="1">
      <c r="A10" s="61" t="s">
        <v>115</v>
      </c>
      <c r="B10" s="28" t="s">
        <v>25</v>
      </c>
      <c r="C10" s="68" t="s">
        <v>136</v>
      </c>
      <c r="D10" s="491">
        <f>'[2]KQ 2011-2015'!J11</f>
        <v>85.4</v>
      </c>
      <c r="E10" s="552">
        <f aca="true" t="shared" si="4" ref="E10:J10">E84</f>
        <v>85.7</v>
      </c>
      <c r="F10" s="114" t="str">
        <f t="shared" si="4"/>
        <v>87,3</v>
      </c>
      <c r="G10" s="114">
        <f t="shared" si="4"/>
        <v>88</v>
      </c>
      <c r="H10" s="114">
        <f t="shared" si="4"/>
        <v>89</v>
      </c>
      <c r="I10" s="114">
        <f t="shared" si="4"/>
        <v>90</v>
      </c>
      <c r="J10" s="114">
        <f t="shared" si="4"/>
        <v>90</v>
      </c>
    </row>
    <row r="11" spans="1:10" ht="29.25" customHeight="1">
      <c r="A11" s="60" t="s">
        <v>20</v>
      </c>
      <c r="B11" s="29" t="s">
        <v>26</v>
      </c>
      <c r="C11" s="67"/>
      <c r="D11" s="491">
        <f>'[2]KQ 2011-2015'!J12</f>
        <v>0</v>
      </c>
      <c r="E11" s="555"/>
      <c r="F11" s="489"/>
      <c r="G11" s="489"/>
      <c r="H11" s="489"/>
      <c r="I11" s="489"/>
      <c r="J11" s="73"/>
    </row>
    <row r="12" spans="1:10" ht="29.25" customHeight="1">
      <c r="A12" s="62">
        <v>1</v>
      </c>
      <c r="B12" s="28" t="s">
        <v>27</v>
      </c>
      <c r="C12" s="68" t="s">
        <v>136</v>
      </c>
      <c r="D12" s="491" t="str">
        <f>'[2]KQ 2011-2015'!J13</f>
        <v>31,6</v>
      </c>
      <c r="E12" s="552" t="str">
        <f>E90</f>
        <v>45,3</v>
      </c>
      <c r="F12" s="114" t="str">
        <f>F90</f>
        <v>48,4</v>
      </c>
      <c r="G12" s="114" t="str">
        <f>G90</f>
        <v>51,5</v>
      </c>
      <c r="H12" s="114" t="str">
        <f>H90</f>
        <v>55,4</v>
      </c>
      <c r="I12" s="114" t="str">
        <f>I90</f>
        <v>59,2</v>
      </c>
      <c r="J12" s="114" t="str">
        <f>I12</f>
        <v>59,2</v>
      </c>
    </row>
    <row r="13" spans="1:10" ht="38.25" customHeight="1">
      <c r="A13" s="61" t="s">
        <v>133</v>
      </c>
      <c r="B13" s="53" t="str">
        <f aca="true" t="shared" si="5" ref="B13:I13">B92</f>
        <v>Tỷ lệ thôn, bản, tổ dân phố có câu lạc bộ gia đình phát triển bền vững </v>
      </c>
      <c r="C13" s="77" t="str">
        <f t="shared" si="5"/>
        <v>%</v>
      </c>
      <c r="D13" s="78">
        <f t="shared" si="5"/>
        <v>9.29054054054054</v>
      </c>
      <c r="E13" s="556" t="str">
        <f t="shared" si="5"/>
        <v>9,6</v>
      </c>
      <c r="F13" s="77" t="str">
        <f t="shared" si="5"/>
        <v>10,07</v>
      </c>
      <c r="G13" s="77">
        <f t="shared" si="5"/>
        <v>11</v>
      </c>
      <c r="H13" s="77" t="str">
        <f t="shared" si="5"/>
        <v>11,8</v>
      </c>
      <c r="I13" s="78" t="str">
        <f t="shared" si="5"/>
        <v>12,2</v>
      </c>
      <c r="J13" s="78" t="str">
        <f>I13</f>
        <v>12,2</v>
      </c>
    </row>
    <row r="14" spans="1:10" ht="31.5">
      <c r="A14" s="62">
        <v>2</v>
      </c>
      <c r="B14" s="31" t="s">
        <v>28</v>
      </c>
      <c r="C14" s="68" t="s">
        <v>136</v>
      </c>
      <c r="D14" s="491">
        <f>'[2]KQ 2011-2015'!J19</f>
        <v>100</v>
      </c>
      <c r="E14" s="557">
        <v>100</v>
      </c>
      <c r="F14" s="73">
        <v>100</v>
      </c>
      <c r="G14" s="73">
        <v>100</v>
      </c>
      <c r="H14" s="73">
        <v>100</v>
      </c>
      <c r="I14" s="73">
        <v>100</v>
      </c>
      <c r="J14" s="73">
        <v>100</v>
      </c>
    </row>
    <row r="15" spans="1:10" ht="47.25">
      <c r="A15" s="61" t="s">
        <v>134</v>
      </c>
      <c r="B15" s="31" t="s">
        <v>29</v>
      </c>
      <c r="C15" s="68" t="s">
        <v>136</v>
      </c>
      <c r="D15" s="73">
        <v>100</v>
      </c>
      <c r="E15" s="557">
        <v>100</v>
      </c>
      <c r="F15" s="73">
        <v>100</v>
      </c>
      <c r="G15" s="73">
        <v>100</v>
      </c>
      <c r="H15" s="73">
        <v>100</v>
      </c>
      <c r="I15" s="73">
        <v>100</v>
      </c>
      <c r="J15" s="73">
        <v>100</v>
      </c>
    </row>
    <row r="16" spans="1:10" ht="15.75">
      <c r="A16" s="521" t="s">
        <v>113</v>
      </c>
      <c r="B16" s="522" t="s">
        <v>30</v>
      </c>
      <c r="C16" s="523"/>
      <c r="D16" s="524" t="e">
        <f>'[2]KQ 2011-2015'!J21</f>
        <v>#REF!</v>
      </c>
      <c r="E16" s="558"/>
      <c r="F16" s="83"/>
      <c r="G16" s="83"/>
      <c r="H16" s="83"/>
      <c r="I16" s="83"/>
      <c r="J16" s="83"/>
    </row>
    <row r="17" spans="1:10" ht="15.75">
      <c r="A17" s="527">
        <v>1</v>
      </c>
      <c r="B17" s="528" t="s">
        <v>31</v>
      </c>
      <c r="C17" s="529" t="s">
        <v>136</v>
      </c>
      <c r="D17" s="530" t="e">
        <f aca="true" t="shared" si="6" ref="D17:J17">D144</f>
        <v>#REF!</v>
      </c>
      <c r="E17" s="559">
        <f t="shared" si="6"/>
        <v>80</v>
      </c>
      <c r="F17" s="530">
        <f t="shared" si="6"/>
        <v>90</v>
      </c>
      <c r="G17" s="530">
        <f t="shared" si="6"/>
        <v>100</v>
      </c>
      <c r="H17" s="530">
        <f t="shared" si="6"/>
        <v>100</v>
      </c>
      <c r="I17" s="530">
        <f t="shared" si="6"/>
        <v>100</v>
      </c>
      <c r="J17" s="530">
        <f t="shared" si="6"/>
        <v>100</v>
      </c>
    </row>
    <row r="18" spans="1:10" ht="31.5">
      <c r="A18" s="61">
        <v>2</v>
      </c>
      <c r="B18" s="32" t="s">
        <v>32</v>
      </c>
      <c r="C18" s="68" t="s">
        <v>136</v>
      </c>
      <c r="D18" s="73" t="e">
        <f aca="true" t="shared" si="7" ref="D18:J18">D146</f>
        <v>#REF!</v>
      </c>
      <c r="E18" s="557" t="str">
        <f t="shared" si="7"/>
        <v>38,5</v>
      </c>
      <c r="F18" s="73" t="str">
        <f t="shared" si="7"/>
        <v>43,8</v>
      </c>
      <c r="G18" s="73" t="str">
        <f t="shared" si="7"/>
        <v>49,2</v>
      </c>
      <c r="H18" s="73" t="str">
        <f t="shared" si="7"/>
        <v>54,6</v>
      </c>
      <c r="I18" s="73">
        <f t="shared" si="7"/>
        <v>60</v>
      </c>
      <c r="J18" s="73">
        <f t="shared" si="7"/>
        <v>60</v>
      </c>
    </row>
    <row r="19" spans="1:10" ht="31.5">
      <c r="A19" s="61">
        <v>3</v>
      </c>
      <c r="B19" s="32" t="s">
        <v>33</v>
      </c>
      <c r="C19" s="68" t="s">
        <v>136</v>
      </c>
      <c r="D19" s="73">
        <f aca="true" t="shared" si="8" ref="D19:J19">D148</f>
        <v>19.1</v>
      </c>
      <c r="E19" s="557">
        <f t="shared" si="8"/>
        <v>20.1</v>
      </c>
      <c r="F19" s="73" t="str">
        <f t="shared" si="8"/>
        <v>21,5</v>
      </c>
      <c r="G19" s="73" t="str">
        <f t="shared" si="8"/>
        <v>22,7</v>
      </c>
      <c r="H19" s="73">
        <f t="shared" si="8"/>
        <v>24</v>
      </c>
      <c r="I19" s="73">
        <f t="shared" si="8"/>
        <v>25</v>
      </c>
      <c r="J19" s="73">
        <f t="shared" si="8"/>
        <v>25</v>
      </c>
    </row>
    <row r="20" spans="1:10" ht="15.75">
      <c r="A20" s="63" t="s">
        <v>114</v>
      </c>
      <c r="B20" s="33" t="s">
        <v>34</v>
      </c>
      <c r="C20" s="69"/>
      <c r="D20" s="491" t="e">
        <f>'[2]KQ 2011-2015'!J25</f>
        <v>#REF!</v>
      </c>
      <c r="E20" s="557"/>
      <c r="F20" s="73"/>
      <c r="G20" s="73"/>
      <c r="H20" s="73"/>
      <c r="I20" s="73"/>
      <c r="J20" s="73"/>
    </row>
    <row r="21" spans="1:10" ht="31.5">
      <c r="A21" s="61">
        <v>1</v>
      </c>
      <c r="B21" s="30" t="s">
        <v>35</v>
      </c>
      <c r="C21" s="68" t="s">
        <v>137</v>
      </c>
      <c r="D21" s="491">
        <f>'[2]KQ 2011-2015'!J26</f>
        <v>0</v>
      </c>
      <c r="E21" s="557">
        <f aca="true" t="shared" si="9" ref="E21:J22">E154</f>
        <v>1</v>
      </c>
      <c r="F21" s="73">
        <f t="shared" si="9"/>
        <v>1</v>
      </c>
      <c r="G21" s="73">
        <f t="shared" si="9"/>
        <v>1</v>
      </c>
      <c r="H21" s="73">
        <f t="shared" si="9"/>
        <v>1</v>
      </c>
      <c r="I21" s="73">
        <f t="shared" si="9"/>
        <v>1</v>
      </c>
      <c r="J21" s="73">
        <f t="shared" si="9"/>
        <v>5</v>
      </c>
    </row>
    <row r="22" spans="1:10" ht="15.75">
      <c r="A22" s="61">
        <v>2</v>
      </c>
      <c r="B22" s="34" t="s">
        <v>36</v>
      </c>
      <c r="C22" s="68" t="s">
        <v>137</v>
      </c>
      <c r="D22" s="491">
        <f>'[2]KQ 2011-2015'!J27</f>
        <v>17</v>
      </c>
      <c r="E22" s="557">
        <f t="shared" si="9"/>
        <v>18</v>
      </c>
      <c r="F22" s="73">
        <f t="shared" si="9"/>
        <v>21</v>
      </c>
      <c r="G22" s="73">
        <f t="shared" si="9"/>
        <v>23</v>
      </c>
      <c r="H22" s="73">
        <f t="shared" si="9"/>
        <v>25</v>
      </c>
      <c r="I22" s="73">
        <f t="shared" si="9"/>
        <v>27</v>
      </c>
      <c r="J22" s="73">
        <f t="shared" si="9"/>
        <v>27</v>
      </c>
    </row>
    <row r="23" spans="1:10" ht="31.5">
      <c r="A23" s="61">
        <v>3</v>
      </c>
      <c r="B23" s="31" t="s">
        <v>37</v>
      </c>
      <c r="C23" s="68" t="s">
        <v>138</v>
      </c>
      <c r="D23" s="491">
        <f>'[2]KQ 2011-2015'!J28</f>
        <v>3</v>
      </c>
      <c r="E23" s="557">
        <f aca="true" t="shared" si="10" ref="E23:J23">E158</f>
        <v>2</v>
      </c>
      <c r="F23" s="73">
        <f t="shared" si="10"/>
        <v>3</v>
      </c>
      <c r="G23" s="73">
        <f t="shared" si="10"/>
        <v>3</v>
      </c>
      <c r="H23" s="73">
        <f t="shared" si="10"/>
        <v>3</v>
      </c>
      <c r="I23" s="73">
        <f t="shared" si="10"/>
        <v>3</v>
      </c>
      <c r="J23" s="73">
        <f t="shared" si="10"/>
        <v>3</v>
      </c>
    </row>
    <row r="24" spans="1:10" ht="31.5">
      <c r="A24" s="61" t="s">
        <v>135</v>
      </c>
      <c r="B24" s="31" t="s">
        <v>600</v>
      </c>
      <c r="C24" s="68" t="s">
        <v>601</v>
      </c>
      <c r="D24" s="491">
        <v>11</v>
      </c>
      <c r="E24" s="557"/>
      <c r="F24" s="73">
        <v>2</v>
      </c>
      <c r="G24" s="73">
        <v>2</v>
      </c>
      <c r="H24" s="73">
        <v>2</v>
      </c>
      <c r="I24" s="73">
        <v>2</v>
      </c>
      <c r="J24" s="73">
        <f>SUM(E24:I24)</f>
        <v>8</v>
      </c>
    </row>
    <row r="25" spans="1:10" ht="31.5">
      <c r="A25" s="61" t="s">
        <v>115</v>
      </c>
      <c r="B25" s="31" t="s">
        <v>602</v>
      </c>
      <c r="C25" s="68" t="s">
        <v>603</v>
      </c>
      <c r="D25" s="491">
        <v>4</v>
      </c>
      <c r="E25" s="557">
        <v>8</v>
      </c>
      <c r="F25" s="73">
        <v>12</v>
      </c>
      <c r="G25" s="73">
        <v>16</v>
      </c>
      <c r="H25" s="73">
        <v>18</v>
      </c>
      <c r="I25" s="73">
        <v>20</v>
      </c>
      <c r="J25" s="73">
        <f>I25</f>
        <v>20</v>
      </c>
    </row>
    <row r="26" spans="1:10" ht="15.75">
      <c r="A26" s="60" t="s">
        <v>116</v>
      </c>
      <c r="B26" s="35" t="s">
        <v>38</v>
      </c>
      <c r="C26" s="67"/>
      <c r="D26" s="491" t="e">
        <f>'[2]KQ 2011-2015'!J29</f>
        <v>#REF!</v>
      </c>
      <c r="E26" s="75"/>
      <c r="F26" s="74"/>
      <c r="G26" s="74"/>
      <c r="H26" s="74"/>
      <c r="I26" s="74"/>
      <c r="J26" s="74"/>
    </row>
    <row r="27" spans="1:10" ht="31.5">
      <c r="A27" s="61">
        <v>1</v>
      </c>
      <c r="B27" s="34" t="s">
        <v>39</v>
      </c>
      <c r="C27" s="68" t="s">
        <v>139</v>
      </c>
      <c r="D27" s="134">
        <f aca="true" t="shared" si="11" ref="D27:I30">D163</f>
        <v>134500</v>
      </c>
      <c r="E27" s="560">
        <f t="shared" si="11"/>
        <v>140150</v>
      </c>
      <c r="F27" s="134">
        <f t="shared" si="11"/>
        <v>147050</v>
      </c>
      <c r="G27" s="134">
        <f t="shared" si="11"/>
        <v>153970</v>
      </c>
      <c r="H27" s="134">
        <f t="shared" si="11"/>
        <v>160675</v>
      </c>
      <c r="I27" s="134">
        <f t="shared" si="11"/>
        <v>168200</v>
      </c>
      <c r="J27" s="134">
        <f>I27</f>
        <v>168200</v>
      </c>
    </row>
    <row r="28" spans="1:10" ht="47.25">
      <c r="A28" s="61">
        <v>2</v>
      </c>
      <c r="B28" s="36" t="s">
        <v>40</v>
      </c>
      <c r="C28" s="68" t="s">
        <v>136</v>
      </c>
      <c r="D28" s="76" t="str">
        <f t="shared" si="11"/>
        <v>24,7</v>
      </c>
      <c r="E28" s="561">
        <f t="shared" si="11"/>
        <v>25.3</v>
      </c>
      <c r="F28" s="76">
        <f t="shared" si="11"/>
        <v>26.4</v>
      </c>
      <c r="G28" s="76">
        <f t="shared" si="11"/>
        <v>27.3</v>
      </c>
      <c r="H28" s="76">
        <f t="shared" si="11"/>
        <v>28.1</v>
      </c>
      <c r="I28" s="76">
        <f t="shared" si="11"/>
        <v>29</v>
      </c>
      <c r="J28" s="76">
        <f>I28</f>
        <v>29</v>
      </c>
    </row>
    <row r="29" spans="1:10" ht="15.75">
      <c r="A29" s="61">
        <v>3</v>
      </c>
      <c r="B29" s="34" t="s">
        <v>41</v>
      </c>
      <c r="C29" s="68" t="s">
        <v>140</v>
      </c>
      <c r="D29" s="491">
        <f>'[2]KQ 2011-2015'!J32</f>
        <v>17299</v>
      </c>
      <c r="E29" s="560">
        <f t="shared" si="11"/>
        <v>18270</v>
      </c>
      <c r="F29" s="134">
        <f t="shared" si="11"/>
        <v>19250</v>
      </c>
      <c r="G29" s="134">
        <f t="shared" si="11"/>
        <v>20250</v>
      </c>
      <c r="H29" s="134">
        <f t="shared" si="11"/>
        <v>21280</v>
      </c>
      <c r="I29" s="134">
        <f t="shared" si="11"/>
        <v>22330</v>
      </c>
      <c r="J29" s="134">
        <f>I29</f>
        <v>22330</v>
      </c>
    </row>
    <row r="30" spans="1:10" ht="31.5">
      <c r="A30" s="61">
        <v>4</v>
      </c>
      <c r="B30" s="34" t="s">
        <v>42</v>
      </c>
      <c r="C30" s="68" t="s">
        <v>136</v>
      </c>
      <c r="D30" s="76">
        <f>D166</f>
        <v>15</v>
      </c>
      <c r="E30" s="561">
        <f t="shared" si="11"/>
        <v>15.6</v>
      </c>
      <c r="F30" s="76">
        <f t="shared" si="11"/>
        <v>16.2</v>
      </c>
      <c r="G30" s="76">
        <f t="shared" si="11"/>
        <v>16.8</v>
      </c>
      <c r="H30" s="76">
        <f t="shared" si="11"/>
        <v>17.4</v>
      </c>
      <c r="I30" s="76">
        <f t="shared" si="11"/>
        <v>18</v>
      </c>
      <c r="J30" s="76">
        <f>I30</f>
        <v>18</v>
      </c>
    </row>
    <row r="31" spans="1:10" ht="15.75">
      <c r="A31" s="61" t="s">
        <v>115</v>
      </c>
      <c r="B31" s="34" t="s">
        <v>43</v>
      </c>
      <c r="C31" s="134" t="str">
        <f aca="true" t="shared" si="12" ref="C31:I35">C168</f>
        <v>VĐV</v>
      </c>
      <c r="D31" s="76" t="e">
        <f t="shared" si="12"/>
        <v>#REF!</v>
      </c>
      <c r="E31" s="561">
        <f t="shared" si="12"/>
        <v>30</v>
      </c>
      <c r="F31" s="76">
        <f t="shared" si="12"/>
        <v>32</v>
      </c>
      <c r="G31" s="76">
        <f t="shared" si="12"/>
        <v>32</v>
      </c>
      <c r="H31" s="76">
        <f t="shared" si="12"/>
        <v>32</v>
      </c>
      <c r="I31" s="76">
        <f t="shared" si="12"/>
        <v>38</v>
      </c>
      <c r="J31" s="76">
        <f>SUM(E31:I31)</f>
        <v>164</v>
      </c>
    </row>
    <row r="32" spans="1:10" ht="15.75">
      <c r="A32" s="61"/>
      <c r="B32" s="34" t="s">
        <v>44</v>
      </c>
      <c r="C32" s="68" t="s">
        <v>141</v>
      </c>
      <c r="D32" s="76" t="e">
        <f t="shared" si="12"/>
        <v>#REF!</v>
      </c>
      <c r="E32" s="561">
        <f t="shared" si="12"/>
        <v>30</v>
      </c>
      <c r="F32" s="76">
        <f t="shared" si="12"/>
        <v>32</v>
      </c>
      <c r="G32" s="76">
        <f t="shared" si="12"/>
        <v>32</v>
      </c>
      <c r="H32" s="76">
        <f t="shared" si="12"/>
        <v>32</v>
      </c>
      <c r="I32" s="76">
        <f t="shared" si="12"/>
        <v>38</v>
      </c>
      <c r="J32" s="76">
        <f>SUM(E32:I32)</f>
        <v>164</v>
      </c>
    </row>
    <row r="33" spans="1:10" ht="15.75">
      <c r="A33" s="61" t="s">
        <v>116</v>
      </c>
      <c r="B33" s="34" t="s">
        <v>45</v>
      </c>
      <c r="C33" s="68" t="s">
        <v>141</v>
      </c>
      <c r="D33" s="76" t="e">
        <f t="shared" si="12"/>
        <v>#REF!</v>
      </c>
      <c r="E33" s="561">
        <f t="shared" si="12"/>
        <v>0</v>
      </c>
      <c r="F33" s="76">
        <f t="shared" si="12"/>
        <v>0</v>
      </c>
      <c r="G33" s="76">
        <f t="shared" si="12"/>
        <v>1</v>
      </c>
      <c r="H33" s="76">
        <f t="shared" si="12"/>
        <v>1</v>
      </c>
      <c r="I33" s="76">
        <f t="shared" si="12"/>
        <v>1</v>
      </c>
      <c r="J33" s="76">
        <f>SUM(E33:I33)</f>
        <v>3</v>
      </c>
    </row>
    <row r="34" spans="1:10" ht="15.75">
      <c r="A34" s="65" t="s">
        <v>117</v>
      </c>
      <c r="B34" s="515" t="s">
        <v>46</v>
      </c>
      <c r="C34" s="482" t="s">
        <v>141</v>
      </c>
      <c r="D34" s="531" t="e">
        <f t="shared" si="12"/>
        <v>#REF!</v>
      </c>
      <c r="E34" s="562">
        <f t="shared" si="12"/>
        <v>3</v>
      </c>
      <c r="F34" s="531">
        <f t="shared" si="12"/>
        <v>3</v>
      </c>
      <c r="G34" s="531">
        <f t="shared" si="12"/>
        <v>3</v>
      </c>
      <c r="H34" s="531">
        <f t="shared" si="12"/>
        <v>3</v>
      </c>
      <c r="I34" s="531">
        <f t="shared" si="12"/>
        <v>4</v>
      </c>
      <c r="J34" s="531">
        <f>SUM(E34:I34)</f>
        <v>16</v>
      </c>
    </row>
    <row r="35" spans="1:10" ht="21" customHeight="1">
      <c r="A35" s="518" t="s">
        <v>118</v>
      </c>
      <c r="B35" s="525" t="s">
        <v>47</v>
      </c>
      <c r="C35" s="519" t="s">
        <v>142</v>
      </c>
      <c r="D35" s="526" t="e">
        <f t="shared" si="12"/>
        <v>#REF!</v>
      </c>
      <c r="E35" s="563">
        <f t="shared" si="12"/>
        <v>39</v>
      </c>
      <c r="F35" s="526">
        <f t="shared" si="12"/>
        <v>40</v>
      </c>
      <c r="G35" s="526">
        <f t="shared" si="12"/>
        <v>40</v>
      </c>
      <c r="H35" s="526">
        <f t="shared" si="12"/>
        <v>40</v>
      </c>
      <c r="I35" s="526">
        <f t="shared" si="12"/>
        <v>45</v>
      </c>
      <c r="J35" s="526">
        <f>SUM(E35:I35)</f>
        <v>204</v>
      </c>
    </row>
    <row r="36" spans="1:10" ht="15.75">
      <c r="A36" s="60" t="s">
        <v>119</v>
      </c>
      <c r="B36" s="37" t="s">
        <v>48</v>
      </c>
      <c r="C36" s="67"/>
      <c r="D36" s="491">
        <f>'[2]KQ 2011-2015'!J39</f>
        <v>0</v>
      </c>
      <c r="E36" s="75"/>
      <c r="F36" s="74"/>
      <c r="G36" s="74"/>
      <c r="H36" s="74"/>
      <c r="I36" s="74"/>
      <c r="J36" s="74"/>
    </row>
    <row r="37" spans="1:10" ht="15.75">
      <c r="A37" s="61">
        <v>1</v>
      </c>
      <c r="B37" s="30" t="s">
        <v>49</v>
      </c>
      <c r="C37" s="68" t="s">
        <v>143</v>
      </c>
      <c r="D37" s="491">
        <f>'[2]KQ 2011-2015'!J40</f>
        <v>400</v>
      </c>
      <c r="E37" s="557">
        <f>E175</f>
        <v>450</v>
      </c>
      <c r="F37" s="73">
        <f>F175</f>
        <v>520</v>
      </c>
      <c r="G37" s="73">
        <f>G175</f>
        <v>600</v>
      </c>
      <c r="H37" s="73">
        <f>H175</f>
        <v>720</v>
      </c>
      <c r="I37" s="73">
        <f>I175</f>
        <v>870</v>
      </c>
      <c r="J37" s="73">
        <f>I37</f>
        <v>870</v>
      </c>
    </row>
    <row r="38" spans="1:10" ht="15.75">
      <c r="A38" s="61"/>
      <c r="B38" s="30" t="s">
        <v>50</v>
      </c>
      <c r="C38" s="68" t="s">
        <v>143</v>
      </c>
      <c r="D38" s="491">
        <f>'[2]KQ 2011-2015'!J41</f>
        <v>70</v>
      </c>
      <c r="E38" s="557" t="str">
        <f aca="true" t="shared" si="13" ref="E38:I42">E176</f>
        <v>77</v>
      </c>
      <c r="F38" s="73">
        <f t="shared" si="13"/>
        <v>85</v>
      </c>
      <c r="G38" s="73">
        <f t="shared" si="13"/>
        <v>94</v>
      </c>
      <c r="H38" s="73">
        <f t="shared" si="13"/>
        <v>110</v>
      </c>
      <c r="I38" s="73">
        <f t="shared" si="13"/>
        <v>220</v>
      </c>
      <c r="J38" s="73">
        <f aca="true" t="shared" si="14" ref="J38:J43">I38</f>
        <v>220</v>
      </c>
    </row>
    <row r="39" spans="1:10" ht="15.75">
      <c r="A39" s="61"/>
      <c r="B39" s="30" t="s">
        <v>51</v>
      </c>
      <c r="C39" s="68" t="s">
        <v>143</v>
      </c>
      <c r="D39" s="491">
        <f>'[2]KQ 2011-2015'!J42</f>
        <v>330</v>
      </c>
      <c r="E39" s="557">
        <f t="shared" si="13"/>
        <v>373</v>
      </c>
      <c r="F39" s="73">
        <f t="shared" si="13"/>
        <v>435</v>
      </c>
      <c r="G39" s="73">
        <f t="shared" si="13"/>
        <v>506</v>
      </c>
      <c r="H39" s="73">
        <f t="shared" si="13"/>
        <v>610</v>
      </c>
      <c r="I39" s="73">
        <f t="shared" si="13"/>
        <v>650</v>
      </c>
      <c r="J39" s="73">
        <f t="shared" si="14"/>
        <v>650</v>
      </c>
    </row>
    <row r="40" spans="1:10" ht="15.75">
      <c r="A40" s="61">
        <v>2</v>
      </c>
      <c r="B40" s="30" t="s">
        <v>52</v>
      </c>
      <c r="C40" s="68" t="s">
        <v>144</v>
      </c>
      <c r="D40" s="491">
        <f>'[2]KQ 2011-2015'!J43</f>
        <v>500</v>
      </c>
      <c r="E40" s="557">
        <f t="shared" si="13"/>
        <v>700</v>
      </c>
      <c r="F40" s="73">
        <f t="shared" si="13"/>
        <v>850</v>
      </c>
      <c r="G40" s="73">
        <f t="shared" si="13"/>
        <v>1100</v>
      </c>
      <c r="H40" s="73">
        <f t="shared" si="13"/>
        <v>1350</v>
      </c>
      <c r="I40" s="73">
        <f t="shared" si="13"/>
        <v>1500</v>
      </c>
      <c r="J40" s="73">
        <f t="shared" si="14"/>
        <v>1500</v>
      </c>
    </row>
    <row r="41" spans="1:10" ht="15.75">
      <c r="A41" s="61">
        <v>3</v>
      </c>
      <c r="B41" s="38" t="s">
        <v>53</v>
      </c>
      <c r="C41" s="68" t="s">
        <v>145</v>
      </c>
      <c r="D41" s="490">
        <f>'[2]KQ 2011-2015'!J44</f>
        <v>2.3</v>
      </c>
      <c r="E41" s="557" t="str">
        <f t="shared" si="13"/>
        <v>2,5</v>
      </c>
      <c r="F41" s="73" t="str">
        <f t="shared" si="13"/>
        <v>2,7</v>
      </c>
      <c r="G41" s="73" t="str">
        <f t="shared" si="13"/>
        <v>2,8</v>
      </c>
      <c r="H41" s="73" t="str">
        <f t="shared" si="13"/>
        <v>2,9</v>
      </c>
      <c r="I41" s="73" t="str">
        <f t="shared" si="13"/>
        <v>3</v>
      </c>
      <c r="J41" s="73" t="str">
        <f t="shared" si="14"/>
        <v>3</v>
      </c>
    </row>
    <row r="42" spans="1:10" ht="31.5">
      <c r="A42" s="61">
        <v>4</v>
      </c>
      <c r="B42" s="39" t="s">
        <v>54</v>
      </c>
      <c r="C42" s="68" t="s">
        <v>145</v>
      </c>
      <c r="D42" s="490">
        <f>'[2]KQ 2011-2015'!J45</f>
        <v>2.3</v>
      </c>
      <c r="E42" s="557" t="str">
        <f t="shared" si="13"/>
        <v>2,5</v>
      </c>
      <c r="F42" s="73" t="str">
        <f t="shared" si="13"/>
        <v>2,7</v>
      </c>
      <c r="G42" s="73" t="str">
        <f t="shared" si="13"/>
        <v>2,8</v>
      </c>
      <c r="H42" s="73" t="str">
        <f t="shared" si="13"/>
        <v>2,9</v>
      </c>
      <c r="I42" s="73" t="str">
        <f t="shared" si="13"/>
        <v>3</v>
      </c>
      <c r="J42" s="73" t="str">
        <f t="shared" si="14"/>
        <v>3</v>
      </c>
    </row>
    <row r="43" spans="1:10" ht="31.5">
      <c r="A43" s="61">
        <v>5</v>
      </c>
      <c r="B43" s="40" t="s">
        <v>112</v>
      </c>
      <c r="C43" s="68" t="s">
        <v>149</v>
      </c>
      <c r="D43" s="491">
        <v>10</v>
      </c>
      <c r="E43" s="557">
        <v>18</v>
      </c>
      <c r="F43" s="73">
        <v>18</v>
      </c>
      <c r="G43" s="73">
        <v>18</v>
      </c>
      <c r="H43" s="73">
        <v>18</v>
      </c>
      <c r="I43" s="73">
        <v>18</v>
      </c>
      <c r="J43" s="73">
        <f t="shared" si="14"/>
        <v>18</v>
      </c>
    </row>
    <row r="44" spans="1:10" ht="15.75">
      <c r="A44" s="63" t="s">
        <v>10</v>
      </c>
      <c r="B44" s="136" t="s">
        <v>55</v>
      </c>
      <c r="C44" s="69"/>
      <c r="D44" s="491"/>
      <c r="E44" s="75"/>
      <c r="F44" s="74"/>
      <c r="G44" s="74"/>
      <c r="H44" s="74"/>
      <c r="I44" s="74"/>
      <c r="J44" s="74"/>
    </row>
    <row r="45" spans="1:10" ht="15.75">
      <c r="A45" s="63" t="s">
        <v>19</v>
      </c>
      <c r="B45" s="71" t="s">
        <v>56</v>
      </c>
      <c r="C45" s="68"/>
      <c r="D45" s="491"/>
      <c r="E45" s="75"/>
      <c r="F45" s="74"/>
      <c r="G45" s="74"/>
      <c r="H45" s="74"/>
      <c r="I45" s="74"/>
      <c r="J45" s="74"/>
    </row>
    <row r="46" spans="1:10" ht="15.75">
      <c r="A46" s="60">
        <v>1</v>
      </c>
      <c r="B46" s="72" t="s">
        <v>57</v>
      </c>
      <c r="C46" s="70"/>
      <c r="D46" s="491"/>
      <c r="E46" s="75"/>
      <c r="F46" s="74"/>
      <c r="G46" s="74"/>
      <c r="H46" s="74"/>
      <c r="I46" s="74"/>
      <c r="J46" s="74"/>
    </row>
    <row r="47" spans="1:10" ht="35.25" customHeight="1">
      <c r="A47" s="61" t="s">
        <v>319</v>
      </c>
      <c r="B47" s="30" t="s">
        <v>187</v>
      </c>
      <c r="C47" s="68" t="s">
        <v>184</v>
      </c>
      <c r="D47" s="491">
        <f>'[4]2011-2015'!J49</f>
        <v>2378.1400000000003</v>
      </c>
      <c r="E47" s="75">
        <v>450.025</v>
      </c>
      <c r="F47" s="74">
        <v>450.93</v>
      </c>
      <c r="G47" s="74">
        <v>451.835</v>
      </c>
      <c r="H47" s="74">
        <v>452.74</v>
      </c>
      <c r="I47" s="492">
        <v>453.645</v>
      </c>
      <c r="J47" s="492">
        <f>E47+F47+G47+H47+I47</f>
        <v>2259.175</v>
      </c>
    </row>
    <row r="48" spans="1:10" ht="31.5">
      <c r="A48" s="61" t="s">
        <v>320</v>
      </c>
      <c r="B48" s="30" t="s">
        <v>189</v>
      </c>
      <c r="C48" s="68" t="s">
        <v>184</v>
      </c>
      <c r="D48" s="491">
        <f>'[4]2011-2015'!J50</f>
        <v>2098.402</v>
      </c>
      <c r="E48" s="564">
        <v>431.9</v>
      </c>
      <c r="F48" s="492">
        <v>432.6</v>
      </c>
      <c r="G48" s="492">
        <v>433.3</v>
      </c>
      <c r="H48" s="492">
        <v>434</v>
      </c>
      <c r="I48" s="492">
        <v>434.7</v>
      </c>
      <c r="J48" s="492">
        <f>E48+F48+G48+H48+I48</f>
        <v>2166.5</v>
      </c>
    </row>
    <row r="49" spans="1:10" ht="31.5">
      <c r="A49" s="61" t="s">
        <v>321</v>
      </c>
      <c r="B49" s="30" t="s">
        <v>188</v>
      </c>
      <c r="C49" s="68" t="s">
        <v>184</v>
      </c>
      <c r="D49" s="491">
        <f>'[4]2011-2015'!J51</f>
        <v>82.24</v>
      </c>
      <c r="E49" s="565">
        <v>16.789</v>
      </c>
      <c r="F49" s="493">
        <v>17.115</v>
      </c>
      <c r="G49" s="493">
        <v>17.93</v>
      </c>
      <c r="H49" s="493">
        <v>17.745</v>
      </c>
      <c r="I49" s="493">
        <v>19.234</v>
      </c>
      <c r="J49" s="492">
        <f>E49+F49+G49+H49+I49</f>
        <v>88.81299999999999</v>
      </c>
    </row>
    <row r="50" spans="1:10" ht="31.5">
      <c r="A50" s="61" t="s">
        <v>322</v>
      </c>
      <c r="B50" s="30" t="s">
        <v>278</v>
      </c>
      <c r="C50" s="68" t="s">
        <v>198</v>
      </c>
      <c r="D50" s="490">
        <v>0.9</v>
      </c>
      <c r="E50" s="565">
        <v>0.9</v>
      </c>
      <c r="F50" s="493">
        <v>0.9</v>
      </c>
      <c r="G50" s="493">
        <v>0.9</v>
      </c>
      <c r="H50" s="493">
        <v>0.9</v>
      </c>
      <c r="I50" s="493">
        <v>0.9</v>
      </c>
      <c r="J50" s="492">
        <f>I50</f>
        <v>0.9</v>
      </c>
    </row>
    <row r="51" spans="1:10" ht="15.75">
      <c r="A51" s="61" t="s">
        <v>323</v>
      </c>
      <c r="B51" s="30" t="s">
        <v>185</v>
      </c>
      <c r="C51" s="68" t="s">
        <v>147</v>
      </c>
      <c r="D51" s="491">
        <f>'[4]2011-2015'!J52</f>
        <v>601</v>
      </c>
      <c r="E51" s="557">
        <v>50</v>
      </c>
      <c r="F51" s="73">
        <v>50</v>
      </c>
      <c r="G51" s="73">
        <v>50</v>
      </c>
      <c r="H51" s="73">
        <v>50</v>
      </c>
      <c r="I51" s="73">
        <v>50</v>
      </c>
      <c r="J51" s="493">
        <f>E51+F51+G51+H51+I51</f>
        <v>250</v>
      </c>
    </row>
    <row r="52" spans="1:10" ht="15.75">
      <c r="A52" s="61" t="s">
        <v>324</v>
      </c>
      <c r="B52" s="30" t="s">
        <v>186</v>
      </c>
      <c r="C52" s="68" t="s">
        <v>147</v>
      </c>
      <c r="D52" s="491">
        <f>'[4]2011-2015'!J53</f>
        <v>6950</v>
      </c>
      <c r="E52" s="557">
        <v>1400</v>
      </c>
      <c r="F52" s="73">
        <v>1400</v>
      </c>
      <c r="G52" s="73">
        <v>1400</v>
      </c>
      <c r="H52" s="73">
        <v>1400</v>
      </c>
      <c r="I52" s="73">
        <v>1400</v>
      </c>
      <c r="J52" s="493">
        <f>E52+F52+G52+H52+I52</f>
        <v>7000</v>
      </c>
    </row>
    <row r="53" spans="1:10" ht="15.75">
      <c r="A53" s="61" t="s">
        <v>325</v>
      </c>
      <c r="B53" s="30" t="s">
        <v>199</v>
      </c>
      <c r="C53" s="68" t="s">
        <v>200</v>
      </c>
      <c r="D53" s="491" t="s">
        <v>201</v>
      </c>
      <c r="E53" s="557" t="s">
        <v>527</v>
      </c>
      <c r="F53" s="73" t="s">
        <v>527</v>
      </c>
      <c r="G53" s="73" t="s">
        <v>527</v>
      </c>
      <c r="H53" s="73" t="s">
        <v>527</v>
      </c>
      <c r="I53" s="73" t="s">
        <v>527</v>
      </c>
      <c r="J53" s="494" t="s">
        <v>528</v>
      </c>
    </row>
    <row r="54" spans="1:10" ht="31.5">
      <c r="A54" s="61" t="s">
        <v>529</v>
      </c>
      <c r="B54" s="30" t="s">
        <v>202</v>
      </c>
      <c r="C54" s="68" t="s">
        <v>200</v>
      </c>
      <c r="D54" s="491" t="s">
        <v>203</v>
      </c>
      <c r="E54" s="557" t="s">
        <v>530</v>
      </c>
      <c r="F54" s="73" t="s">
        <v>530</v>
      </c>
      <c r="G54" s="73" t="s">
        <v>530</v>
      </c>
      <c r="H54" s="73" t="s">
        <v>530</v>
      </c>
      <c r="I54" s="73" t="s">
        <v>530</v>
      </c>
      <c r="J54" s="494" t="s">
        <v>531</v>
      </c>
    </row>
    <row r="55" spans="1:10" ht="15.75">
      <c r="A55" s="65" t="s">
        <v>532</v>
      </c>
      <c r="B55" s="143" t="s">
        <v>204</v>
      </c>
      <c r="C55" s="482"/>
      <c r="D55" s="524"/>
      <c r="E55" s="558"/>
      <c r="F55" s="83"/>
      <c r="G55" s="83"/>
      <c r="H55" s="83"/>
      <c r="I55" s="83"/>
      <c r="J55" s="534"/>
    </row>
    <row r="56" spans="1:17" ht="25.5" customHeight="1">
      <c r="A56" s="518" t="s">
        <v>533</v>
      </c>
      <c r="B56" s="532" t="s">
        <v>205</v>
      </c>
      <c r="C56" s="519" t="s">
        <v>200</v>
      </c>
      <c r="D56" s="519" t="s">
        <v>206</v>
      </c>
      <c r="E56" s="566" t="s">
        <v>534</v>
      </c>
      <c r="F56" s="517" t="s">
        <v>534</v>
      </c>
      <c r="G56" s="517" t="s">
        <v>534</v>
      </c>
      <c r="H56" s="517" t="s">
        <v>534</v>
      </c>
      <c r="I56" s="517" t="s">
        <v>534</v>
      </c>
      <c r="J56" s="533" t="s">
        <v>535</v>
      </c>
      <c r="Q56" s="1">
        <f>2850+2860+2870+3000+3000</f>
        <v>14580</v>
      </c>
    </row>
    <row r="57" spans="1:10" ht="15.75">
      <c r="A57" s="61" t="s">
        <v>536</v>
      </c>
      <c r="B57" s="30" t="s">
        <v>288</v>
      </c>
      <c r="C57" s="68" t="s">
        <v>147</v>
      </c>
      <c r="D57" s="491">
        <f>'[4]2011-2015'!J54</f>
        <v>932</v>
      </c>
      <c r="E57" s="75">
        <v>180</v>
      </c>
      <c r="F57" s="74">
        <v>180</v>
      </c>
      <c r="G57" s="74">
        <v>180</v>
      </c>
      <c r="H57" s="74">
        <v>180</v>
      </c>
      <c r="I57" s="74">
        <v>180</v>
      </c>
      <c r="J57" s="492">
        <f>E57+F57+G57+H57+I57</f>
        <v>900</v>
      </c>
    </row>
    <row r="58" spans="1:10" ht="31.5">
      <c r="A58" s="61" t="s">
        <v>537</v>
      </c>
      <c r="B58" s="30" t="s">
        <v>289</v>
      </c>
      <c r="C58" s="68" t="s">
        <v>227</v>
      </c>
      <c r="D58" s="491">
        <v>5</v>
      </c>
      <c r="E58" s="75">
        <v>1</v>
      </c>
      <c r="F58" s="74">
        <v>1</v>
      </c>
      <c r="G58" s="74">
        <v>1</v>
      </c>
      <c r="H58" s="74">
        <v>1</v>
      </c>
      <c r="I58" s="74">
        <v>1</v>
      </c>
      <c r="J58" s="492">
        <v>5</v>
      </c>
    </row>
    <row r="59" spans="1:10" ht="15.75">
      <c r="A59" s="63">
        <v>2</v>
      </c>
      <c r="B59" s="37" t="s">
        <v>223</v>
      </c>
      <c r="C59" s="68"/>
      <c r="D59" s="491">
        <v>0</v>
      </c>
      <c r="E59" s="75"/>
      <c r="F59" s="74"/>
      <c r="G59" s="74"/>
      <c r="H59" s="74"/>
      <c r="I59" s="74"/>
      <c r="J59" s="74"/>
    </row>
    <row r="60" spans="1:10" ht="31.5">
      <c r="A60" s="61" t="s">
        <v>129</v>
      </c>
      <c r="B60" s="30" t="s">
        <v>195</v>
      </c>
      <c r="C60" s="68" t="s">
        <v>196</v>
      </c>
      <c r="D60" s="491">
        <f>'[4]2011-2015'!J57</f>
        <v>6</v>
      </c>
      <c r="E60" s="557">
        <v>1</v>
      </c>
      <c r="F60" s="73">
        <v>1</v>
      </c>
      <c r="G60" s="73">
        <v>1</v>
      </c>
      <c r="H60" s="73">
        <v>2</v>
      </c>
      <c r="I60" s="73">
        <v>1</v>
      </c>
      <c r="J60" s="74">
        <f>SUM(E60:I60)</f>
        <v>6</v>
      </c>
    </row>
    <row r="61" spans="1:10" ht="31.5">
      <c r="A61" s="61" t="s">
        <v>130</v>
      </c>
      <c r="B61" s="30" t="s">
        <v>197</v>
      </c>
      <c r="C61" s="68" t="s">
        <v>196</v>
      </c>
      <c r="D61" s="491">
        <f>'[4]2011-2015'!J58</f>
        <v>40</v>
      </c>
      <c r="E61" s="557">
        <v>6</v>
      </c>
      <c r="F61" s="73">
        <v>6</v>
      </c>
      <c r="G61" s="73">
        <v>6</v>
      </c>
      <c r="H61" s="73">
        <v>8</v>
      </c>
      <c r="I61" s="73">
        <v>6</v>
      </c>
      <c r="J61" s="74">
        <f>SUM(E61:I61)</f>
        <v>32</v>
      </c>
    </row>
    <row r="62" spans="1:10" ht="15.75">
      <c r="A62" s="61" t="s">
        <v>131</v>
      </c>
      <c r="B62" s="30" t="s">
        <v>182</v>
      </c>
      <c r="C62" s="68" t="s">
        <v>147</v>
      </c>
      <c r="D62" s="491">
        <f>'[4]2011-2015'!J59</f>
        <v>585</v>
      </c>
      <c r="E62" s="557">
        <v>110</v>
      </c>
      <c r="F62" s="73">
        <v>115</v>
      </c>
      <c r="G62" s="73">
        <v>115</v>
      </c>
      <c r="H62" s="73">
        <v>115</v>
      </c>
      <c r="I62" s="73">
        <v>115</v>
      </c>
      <c r="J62" s="76">
        <f>SUM(E62:I62)</f>
        <v>570</v>
      </c>
    </row>
    <row r="63" spans="1:10" ht="31.5">
      <c r="A63" s="61" t="s">
        <v>132</v>
      </c>
      <c r="B63" s="30" t="s">
        <v>183</v>
      </c>
      <c r="C63" s="68" t="s">
        <v>184</v>
      </c>
      <c r="D63" s="491">
        <f>'[4]2011-2015'!J61</f>
        <v>920</v>
      </c>
      <c r="E63" s="567">
        <v>202</v>
      </c>
      <c r="F63" s="495">
        <v>205</v>
      </c>
      <c r="G63" s="495">
        <v>205</v>
      </c>
      <c r="H63" s="495">
        <v>210</v>
      </c>
      <c r="I63" s="495">
        <v>207</v>
      </c>
      <c r="J63" s="76">
        <f>SUM(E63:I63)</f>
        <v>1029</v>
      </c>
    </row>
    <row r="64" spans="1:10" ht="31.5">
      <c r="A64" s="61" t="s">
        <v>538</v>
      </c>
      <c r="B64" s="30" t="s">
        <v>290</v>
      </c>
      <c r="C64" s="68" t="s">
        <v>198</v>
      </c>
      <c r="D64" s="490">
        <v>0.3</v>
      </c>
      <c r="E64" s="75">
        <v>0.3</v>
      </c>
      <c r="F64" s="74">
        <v>0.3</v>
      </c>
      <c r="G64" s="74">
        <v>0.3</v>
      </c>
      <c r="H64" s="74">
        <v>0.3</v>
      </c>
      <c r="I64" s="74">
        <v>0.3</v>
      </c>
      <c r="J64" s="141">
        <f>I64</f>
        <v>0.3</v>
      </c>
    </row>
    <row r="65" spans="1:10" s="9" customFormat="1" ht="15.75">
      <c r="A65" s="63" t="s">
        <v>134</v>
      </c>
      <c r="B65" s="136" t="s">
        <v>224</v>
      </c>
      <c r="C65" s="69"/>
      <c r="D65" s="496"/>
      <c r="E65" s="81"/>
      <c r="F65" s="25"/>
      <c r="G65" s="25"/>
      <c r="H65" s="25"/>
      <c r="I65" s="25"/>
      <c r="J65" s="497"/>
    </row>
    <row r="66" spans="1:10" ht="15.75">
      <c r="A66" s="61" t="s">
        <v>251</v>
      </c>
      <c r="B66" s="30" t="s">
        <v>327</v>
      </c>
      <c r="C66" s="68" t="s">
        <v>225</v>
      </c>
      <c r="D66" s="491">
        <f>'[4]2011-2015'!J68</f>
        <v>1267</v>
      </c>
      <c r="E66" s="75">
        <v>1267</v>
      </c>
      <c r="F66" s="74">
        <v>1270</v>
      </c>
      <c r="G66" s="74">
        <v>1270</v>
      </c>
      <c r="H66" s="74">
        <v>1273</v>
      </c>
      <c r="I66" s="74">
        <v>1275</v>
      </c>
      <c r="J66" s="76">
        <f>I66</f>
        <v>1275</v>
      </c>
    </row>
    <row r="67" spans="1:10" ht="15.75">
      <c r="A67" s="61" t="s">
        <v>252</v>
      </c>
      <c r="B67" s="30" t="s">
        <v>58</v>
      </c>
      <c r="C67" s="68" t="s">
        <v>147</v>
      </c>
      <c r="D67" s="491">
        <f>'[4]2011-2015'!J69</f>
        <v>17638</v>
      </c>
      <c r="E67" s="75">
        <v>3625</v>
      </c>
      <c r="F67" s="74">
        <v>3625</v>
      </c>
      <c r="G67" s="74">
        <v>3630</v>
      </c>
      <c r="H67" s="74">
        <v>3630</v>
      </c>
      <c r="I67" s="74">
        <v>3630</v>
      </c>
      <c r="J67" s="76">
        <f>SUM(E67:I67)</f>
        <v>18140</v>
      </c>
    </row>
    <row r="68" spans="1:10" ht="31.5">
      <c r="A68" s="61" t="s">
        <v>253</v>
      </c>
      <c r="B68" s="30" t="s">
        <v>59</v>
      </c>
      <c r="C68" s="68" t="s">
        <v>146</v>
      </c>
      <c r="D68" s="490">
        <f>'[4]2011-2015'!J70</f>
        <v>1960</v>
      </c>
      <c r="E68" s="75">
        <v>407</v>
      </c>
      <c r="F68" s="74">
        <v>410</v>
      </c>
      <c r="G68" s="74">
        <v>410</v>
      </c>
      <c r="H68" s="74">
        <v>412</v>
      </c>
      <c r="I68" s="74">
        <v>415</v>
      </c>
      <c r="J68" s="76">
        <f>SUM(E68:I68)</f>
        <v>2054</v>
      </c>
    </row>
    <row r="69" spans="1:10" ht="21.75" customHeight="1">
      <c r="A69" s="61" t="s">
        <v>254</v>
      </c>
      <c r="B69" s="30" t="s">
        <v>291</v>
      </c>
      <c r="C69" s="68" t="s">
        <v>198</v>
      </c>
      <c r="D69" s="490">
        <v>0.3</v>
      </c>
      <c r="E69" s="75">
        <v>0.3</v>
      </c>
      <c r="F69" s="74">
        <v>0.3</v>
      </c>
      <c r="G69" s="74">
        <v>0.3</v>
      </c>
      <c r="H69" s="74">
        <v>0.3</v>
      </c>
      <c r="I69" s="74">
        <v>0.3</v>
      </c>
      <c r="J69" s="141">
        <v>0.3</v>
      </c>
    </row>
    <row r="70" spans="1:10" ht="21.75" customHeight="1">
      <c r="A70" s="61" t="s">
        <v>255</v>
      </c>
      <c r="B70" s="30" t="s">
        <v>279</v>
      </c>
      <c r="C70" s="68" t="s">
        <v>148</v>
      </c>
      <c r="D70" s="490">
        <f aca="true" t="shared" si="15" ref="D70:J70">SUM(D71:D72)</f>
        <v>46</v>
      </c>
      <c r="E70" s="75">
        <f t="shared" si="15"/>
        <v>9</v>
      </c>
      <c r="F70" s="74">
        <f t="shared" si="15"/>
        <v>9</v>
      </c>
      <c r="G70" s="74">
        <f t="shared" si="15"/>
        <v>9</v>
      </c>
      <c r="H70" s="74">
        <f t="shared" si="15"/>
        <v>10</v>
      </c>
      <c r="I70" s="74">
        <f t="shared" si="15"/>
        <v>11</v>
      </c>
      <c r="J70" s="73">
        <f t="shared" si="15"/>
        <v>48</v>
      </c>
    </row>
    <row r="71" spans="1:10" ht="21.75" customHeight="1">
      <c r="A71" s="61" t="s">
        <v>256</v>
      </c>
      <c r="B71" s="30" t="s">
        <v>286</v>
      </c>
      <c r="C71" s="68" t="s">
        <v>163</v>
      </c>
      <c r="D71" s="490">
        <f>'[2]KQ 2011-2015'!D63</f>
        <v>30</v>
      </c>
      <c r="E71" s="75">
        <v>6</v>
      </c>
      <c r="F71" s="74">
        <v>6</v>
      </c>
      <c r="G71" s="74">
        <v>6</v>
      </c>
      <c r="H71" s="74">
        <v>7</v>
      </c>
      <c r="I71" s="74">
        <v>8</v>
      </c>
      <c r="J71" s="141">
        <f>SUM(E71:I71)</f>
        <v>33</v>
      </c>
    </row>
    <row r="72" spans="1:10" ht="21.75" customHeight="1">
      <c r="A72" s="61" t="s">
        <v>257</v>
      </c>
      <c r="B72" s="31" t="s">
        <v>292</v>
      </c>
      <c r="C72" s="68" t="s">
        <v>163</v>
      </c>
      <c r="D72" s="490">
        <v>16</v>
      </c>
      <c r="E72" s="75">
        <v>3</v>
      </c>
      <c r="F72" s="74">
        <v>3</v>
      </c>
      <c r="G72" s="74">
        <v>3</v>
      </c>
      <c r="H72" s="74">
        <v>3</v>
      </c>
      <c r="I72" s="74">
        <v>3</v>
      </c>
      <c r="J72" s="141">
        <f>SUM(E72:I72)</f>
        <v>15</v>
      </c>
    </row>
    <row r="73" spans="1:10" ht="31.5">
      <c r="A73" s="61" t="s">
        <v>539</v>
      </c>
      <c r="B73" s="30" t="s">
        <v>226</v>
      </c>
      <c r="C73" s="68" t="s">
        <v>153</v>
      </c>
      <c r="D73" s="491">
        <v>30</v>
      </c>
      <c r="E73" s="75">
        <v>30</v>
      </c>
      <c r="F73" s="74">
        <v>30</v>
      </c>
      <c r="G73" s="74">
        <v>33</v>
      </c>
      <c r="H73" s="74">
        <v>33</v>
      </c>
      <c r="I73" s="74">
        <v>35</v>
      </c>
      <c r="J73" s="76">
        <f>I73</f>
        <v>35</v>
      </c>
    </row>
    <row r="74" spans="1:10" ht="15.75">
      <c r="A74" s="65" t="s">
        <v>540</v>
      </c>
      <c r="B74" s="143" t="s">
        <v>228</v>
      </c>
      <c r="C74" s="482" t="s">
        <v>227</v>
      </c>
      <c r="D74" s="524">
        <v>5</v>
      </c>
      <c r="E74" s="558">
        <v>1</v>
      </c>
      <c r="F74" s="83"/>
      <c r="G74" s="83">
        <v>1</v>
      </c>
      <c r="H74" s="83"/>
      <c r="I74" s="83"/>
      <c r="J74" s="531">
        <f>SUM(E74:I74)</f>
        <v>2</v>
      </c>
    </row>
    <row r="75" spans="1:10" ht="31.5">
      <c r="A75" s="535" t="s">
        <v>135</v>
      </c>
      <c r="B75" s="536" t="s">
        <v>22</v>
      </c>
      <c r="C75" s="519"/>
      <c r="D75" s="516"/>
      <c r="E75" s="566"/>
      <c r="F75" s="517"/>
      <c r="G75" s="517"/>
      <c r="H75" s="517"/>
      <c r="I75" s="517"/>
      <c r="J75" s="517"/>
    </row>
    <row r="76" spans="1:10" ht="15.75">
      <c r="A76" s="61" t="s">
        <v>267</v>
      </c>
      <c r="B76" s="40" t="s">
        <v>60</v>
      </c>
      <c r="C76" s="68" t="s">
        <v>140</v>
      </c>
      <c r="D76" s="488" t="e">
        <f>#REF!</f>
        <v>#REF!</v>
      </c>
      <c r="E76" s="499">
        <v>87500</v>
      </c>
      <c r="F76" s="488">
        <v>90740</v>
      </c>
      <c r="G76" s="488">
        <v>93701</v>
      </c>
      <c r="H76" s="488">
        <v>97313</v>
      </c>
      <c r="I76" s="488">
        <v>100941</v>
      </c>
      <c r="J76" s="488">
        <f aca="true" t="shared" si="16" ref="J76:J88">I76</f>
        <v>100941</v>
      </c>
    </row>
    <row r="77" spans="1:10" ht="15.75">
      <c r="A77" s="61" t="s">
        <v>287</v>
      </c>
      <c r="B77" s="41" t="s">
        <v>61</v>
      </c>
      <c r="C77" s="68" t="s">
        <v>140</v>
      </c>
      <c r="D77" s="488" t="e">
        <f>#REF!</f>
        <v>#REF!</v>
      </c>
      <c r="E77" s="499">
        <v>76176</v>
      </c>
      <c r="F77" s="488">
        <v>80883</v>
      </c>
      <c r="G77" s="488">
        <v>86847</v>
      </c>
      <c r="H77" s="488">
        <v>90869</v>
      </c>
      <c r="I77" s="488">
        <v>95848</v>
      </c>
      <c r="J77" s="488">
        <f t="shared" si="16"/>
        <v>95848</v>
      </c>
    </row>
    <row r="78" spans="1:10" ht="31.5">
      <c r="A78" s="61" t="s">
        <v>315</v>
      </c>
      <c r="B78" s="41" t="s">
        <v>23</v>
      </c>
      <c r="C78" s="68" t="s">
        <v>136</v>
      </c>
      <c r="D78" s="488" t="e">
        <f>#REF!</f>
        <v>#REF!</v>
      </c>
      <c r="E78" s="499">
        <v>62</v>
      </c>
      <c r="F78" s="488">
        <v>64</v>
      </c>
      <c r="G78" s="488">
        <v>66</v>
      </c>
      <c r="H78" s="488">
        <v>68</v>
      </c>
      <c r="I78" s="488">
        <v>70</v>
      </c>
      <c r="J78" s="488">
        <f t="shared" si="16"/>
        <v>70</v>
      </c>
    </row>
    <row r="79" spans="1:10" ht="31.5">
      <c r="A79" s="61" t="s">
        <v>316</v>
      </c>
      <c r="B79" s="40" t="s">
        <v>62</v>
      </c>
      <c r="C79" s="68" t="s">
        <v>149</v>
      </c>
      <c r="D79" s="488" t="e">
        <f>#REF!</f>
        <v>#REF!</v>
      </c>
      <c r="E79" s="499">
        <v>1364</v>
      </c>
      <c r="F79" s="488">
        <v>1400</v>
      </c>
      <c r="G79" s="488">
        <v>1381</v>
      </c>
      <c r="H79" s="488">
        <v>1413</v>
      </c>
      <c r="I79" s="488">
        <v>1470</v>
      </c>
      <c r="J79" s="488">
        <f t="shared" si="16"/>
        <v>1470</v>
      </c>
    </row>
    <row r="80" spans="1:10" ht="21" customHeight="1">
      <c r="A80" s="61" t="s">
        <v>317</v>
      </c>
      <c r="B80" s="41" t="s">
        <v>63</v>
      </c>
      <c r="C80" s="68" t="s">
        <v>149</v>
      </c>
      <c r="D80" s="488" t="e">
        <f>#REF!</f>
        <v>#REF!</v>
      </c>
      <c r="E80" s="499">
        <v>902</v>
      </c>
      <c r="F80" s="488">
        <v>927</v>
      </c>
      <c r="G80" s="488">
        <v>942</v>
      </c>
      <c r="H80" s="488">
        <v>959</v>
      </c>
      <c r="I80" s="488">
        <v>976</v>
      </c>
      <c r="J80" s="488">
        <f t="shared" si="16"/>
        <v>976</v>
      </c>
    </row>
    <row r="81" spans="1:10" ht="31.5">
      <c r="A81" s="61" t="s">
        <v>318</v>
      </c>
      <c r="B81" s="41" t="s">
        <v>24</v>
      </c>
      <c r="C81" s="68" t="s">
        <v>136</v>
      </c>
      <c r="D81" s="488" t="e">
        <f>#REF!</f>
        <v>#REF!</v>
      </c>
      <c r="E81" s="498">
        <v>50.8</v>
      </c>
      <c r="F81" s="498" t="s">
        <v>541</v>
      </c>
      <c r="G81" s="498">
        <v>53</v>
      </c>
      <c r="H81" s="498">
        <v>54</v>
      </c>
      <c r="I81" s="498">
        <v>55</v>
      </c>
      <c r="J81" s="499">
        <f t="shared" si="16"/>
        <v>55</v>
      </c>
    </row>
    <row r="82" spans="1:10" ht="31.5">
      <c r="A82" s="61" t="s">
        <v>607</v>
      </c>
      <c r="B82" s="40" t="s">
        <v>64</v>
      </c>
      <c r="C82" s="68" t="s">
        <v>150</v>
      </c>
      <c r="D82" s="488" t="e">
        <f>#REF!</f>
        <v>#REF!</v>
      </c>
      <c r="E82" s="499">
        <v>1299</v>
      </c>
      <c r="F82" s="488">
        <v>1330</v>
      </c>
      <c r="G82" s="488">
        <v>1383</v>
      </c>
      <c r="H82" s="488">
        <v>1417</v>
      </c>
      <c r="I82" s="488">
        <v>1458</v>
      </c>
      <c r="J82" s="488">
        <f t="shared" si="16"/>
        <v>1458</v>
      </c>
    </row>
    <row r="83" spans="1:10" ht="15.75">
      <c r="A83" s="61" t="s">
        <v>608</v>
      </c>
      <c r="B83" s="41" t="s">
        <v>65</v>
      </c>
      <c r="C83" s="68" t="s">
        <v>150</v>
      </c>
      <c r="D83" s="488" t="e">
        <f>#REF!</f>
        <v>#REF!</v>
      </c>
      <c r="E83" s="499">
        <v>1197</v>
      </c>
      <c r="F83" s="488">
        <v>1246</v>
      </c>
      <c r="G83" s="488">
        <v>1278</v>
      </c>
      <c r="H83" s="488">
        <v>1318</v>
      </c>
      <c r="I83" s="488">
        <v>1361</v>
      </c>
      <c r="J83" s="488">
        <f t="shared" si="16"/>
        <v>1361</v>
      </c>
    </row>
    <row r="84" spans="1:10" ht="47.25">
      <c r="A84" s="61" t="s">
        <v>609</v>
      </c>
      <c r="B84" s="41" t="s">
        <v>66</v>
      </c>
      <c r="C84" s="68" t="s">
        <v>136</v>
      </c>
      <c r="D84" s="488" t="e">
        <f>#REF!</f>
        <v>#REF!</v>
      </c>
      <c r="E84" s="499">
        <v>85.7</v>
      </c>
      <c r="F84" s="488" t="s">
        <v>178</v>
      </c>
      <c r="G84" s="488">
        <v>88</v>
      </c>
      <c r="H84" s="488">
        <v>89</v>
      </c>
      <c r="I84" s="488">
        <v>90</v>
      </c>
      <c r="J84" s="488">
        <f t="shared" si="16"/>
        <v>90</v>
      </c>
    </row>
    <row r="85" spans="1:10" ht="21.75" customHeight="1">
      <c r="A85" s="61" t="s">
        <v>610</v>
      </c>
      <c r="B85" s="42" t="s">
        <v>67</v>
      </c>
      <c r="C85" s="68" t="s">
        <v>151</v>
      </c>
      <c r="D85" s="488" t="e">
        <f>#REF!</f>
        <v>#REF!</v>
      </c>
      <c r="E85" s="499">
        <v>6</v>
      </c>
      <c r="F85" s="488">
        <v>7</v>
      </c>
      <c r="G85" s="488">
        <v>8</v>
      </c>
      <c r="H85" s="488">
        <v>9</v>
      </c>
      <c r="I85" s="488">
        <v>10</v>
      </c>
      <c r="J85" s="488">
        <f t="shared" si="16"/>
        <v>10</v>
      </c>
    </row>
    <row r="86" spans="1:10" ht="21.75" customHeight="1">
      <c r="A86" s="61" t="s">
        <v>611</v>
      </c>
      <c r="B86" s="42" t="s">
        <v>68</v>
      </c>
      <c r="C86" s="68" t="s">
        <v>136</v>
      </c>
      <c r="D86" s="488" t="e">
        <f>#REF!</f>
        <v>#REF!</v>
      </c>
      <c r="E86" s="498" t="s">
        <v>326</v>
      </c>
      <c r="F86" s="500">
        <v>6</v>
      </c>
      <c r="G86" s="500" t="s">
        <v>542</v>
      </c>
      <c r="H86" s="500" t="s">
        <v>543</v>
      </c>
      <c r="I86" s="500" t="s">
        <v>544</v>
      </c>
      <c r="J86" s="500" t="str">
        <f t="shared" si="16"/>
        <v>8,6</v>
      </c>
    </row>
    <row r="87" spans="1:10" ht="31.5">
      <c r="A87" s="61" t="s">
        <v>612</v>
      </c>
      <c r="B87" s="42" t="s">
        <v>176</v>
      </c>
      <c r="C87" s="68" t="s">
        <v>545</v>
      </c>
      <c r="D87" s="488" t="e">
        <f>#REF!</f>
        <v>#REF!</v>
      </c>
      <c r="E87" s="499">
        <v>5</v>
      </c>
      <c r="F87" s="488">
        <v>5</v>
      </c>
      <c r="G87" s="488">
        <v>6</v>
      </c>
      <c r="H87" s="488">
        <v>6</v>
      </c>
      <c r="I87" s="488">
        <v>7</v>
      </c>
      <c r="J87" s="488">
        <f t="shared" si="16"/>
        <v>7</v>
      </c>
    </row>
    <row r="88" spans="1:10" ht="15.75">
      <c r="A88" s="61" t="s">
        <v>613</v>
      </c>
      <c r="B88" s="42" t="s">
        <v>177</v>
      </c>
      <c r="C88" s="68" t="s">
        <v>136</v>
      </c>
      <c r="D88" s="549" t="e">
        <f>#REF!</f>
        <v>#REF!</v>
      </c>
      <c r="E88" s="499">
        <f>E87/14*100</f>
        <v>35.714285714285715</v>
      </c>
      <c r="F88" s="488">
        <f>F87/14*100</f>
        <v>35.714285714285715</v>
      </c>
      <c r="G88" s="488">
        <f>G87/14*100</f>
        <v>42.857142857142854</v>
      </c>
      <c r="H88" s="488">
        <f>H87/14*100</f>
        <v>42.857142857142854</v>
      </c>
      <c r="I88" s="488">
        <f>I87/14*100</f>
        <v>50</v>
      </c>
      <c r="J88" s="488">
        <f t="shared" si="16"/>
        <v>50</v>
      </c>
    </row>
    <row r="89" spans="1:10" ht="15.75">
      <c r="A89" s="63" t="s">
        <v>115</v>
      </c>
      <c r="B89" s="29" t="s">
        <v>26</v>
      </c>
      <c r="C89" s="68"/>
      <c r="D89" s="491"/>
      <c r="E89" s="75"/>
      <c r="F89" s="74"/>
      <c r="G89" s="74"/>
      <c r="H89" s="74"/>
      <c r="I89" s="74"/>
      <c r="J89" s="74"/>
    </row>
    <row r="90" spans="1:10" ht="31.5">
      <c r="A90" s="61" t="s">
        <v>614</v>
      </c>
      <c r="B90" s="41" t="s">
        <v>27</v>
      </c>
      <c r="C90" s="68" t="s">
        <v>136</v>
      </c>
      <c r="D90" s="491">
        <f>'[4]2011-2015'!J87</f>
        <v>37.69230769230769</v>
      </c>
      <c r="E90" s="557" t="s">
        <v>546</v>
      </c>
      <c r="F90" s="73" t="s">
        <v>547</v>
      </c>
      <c r="G90" s="73" t="s">
        <v>548</v>
      </c>
      <c r="H90" s="73" t="s">
        <v>549</v>
      </c>
      <c r="I90" s="73" t="s">
        <v>550</v>
      </c>
      <c r="J90" s="73" t="str">
        <f>I90</f>
        <v>59,2</v>
      </c>
    </row>
    <row r="91" spans="1:10" ht="31.5">
      <c r="A91" s="65" t="s">
        <v>615</v>
      </c>
      <c r="B91" s="539" t="s">
        <v>69</v>
      </c>
      <c r="C91" s="482" t="s">
        <v>152</v>
      </c>
      <c r="D91" s="524">
        <f>'[4]2011-2015'!J88</f>
        <v>49</v>
      </c>
      <c r="E91" s="568">
        <v>59</v>
      </c>
      <c r="F91" s="82">
        <v>63</v>
      </c>
      <c r="G91" s="82">
        <v>67</v>
      </c>
      <c r="H91" s="82">
        <v>72</v>
      </c>
      <c r="I91" s="82">
        <v>77</v>
      </c>
      <c r="J91" s="82">
        <f>I91</f>
        <v>77</v>
      </c>
    </row>
    <row r="92" spans="1:10" ht="31.5">
      <c r="A92" s="518" t="s">
        <v>616</v>
      </c>
      <c r="B92" s="537" t="s">
        <v>70</v>
      </c>
      <c r="C92" s="519" t="s">
        <v>136</v>
      </c>
      <c r="D92" s="516">
        <f>'[4]2011-2015'!J89</f>
        <v>9.29054054054054</v>
      </c>
      <c r="E92" s="569" t="s">
        <v>551</v>
      </c>
      <c r="F92" s="520" t="s">
        <v>552</v>
      </c>
      <c r="G92" s="520">
        <v>11</v>
      </c>
      <c r="H92" s="520" t="s">
        <v>553</v>
      </c>
      <c r="I92" s="538" t="s">
        <v>554</v>
      </c>
      <c r="J92" s="520" t="str">
        <f>I92</f>
        <v>12,2</v>
      </c>
    </row>
    <row r="93" spans="1:10" ht="31.5">
      <c r="A93" s="61" t="s">
        <v>617</v>
      </c>
      <c r="B93" s="43" t="s">
        <v>71</v>
      </c>
      <c r="C93" s="68" t="s">
        <v>153</v>
      </c>
      <c r="D93" s="491">
        <f>'[4]2011-2015'!J90</f>
        <v>165</v>
      </c>
      <c r="E93" s="557">
        <v>171</v>
      </c>
      <c r="F93" s="73">
        <v>179</v>
      </c>
      <c r="G93" s="73">
        <v>195</v>
      </c>
      <c r="H93" s="73">
        <v>210</v>
      </c>
      <c r="I93" s="73">
        <v>218</v>
      </c>
      <c r="J93" s="74">
        <f>I93</f>
        <v>218</v>
      </c>
    </row>
    <row r="94" spans="1:10" ht="31.5">
      <c r="A94" s="61" t="s">
        <v>618</v>
      </c>
      <c r="B94" s="43" t="s">
        <v>28</v>
      </c>
      <c r="C94" s="68" t="s">
        <v>136</v>
      </c>
      <c r="D94" s="491">
        <f>'[4]2011-2015'!J91</f>
        <v>100</v>
      </c>
      <c r="E94" s="557">
        <v>100</v>
      </c>
      <c r="F94" s="73">
        <v>100</v>
      </c>
      <c r="G94" s="73">
        <v>100</v>
      </c>
      <c r="H94" s="73">
        <v>100</v>
      </c>
      <c r="I94" s="73">
        <v>100</v>
      </c>
      <c r="J94" s="73">
        <f>I94</f>
        <v>100</v>
      </c>
    </row>
    <row r="95" spans="1:10" ht="15.75">
      <c r="A95" s="63" t="s">
        <v>116</v>
      </c>
      <c r="B95" s="44" t="s">
        <v>72</v>
      </c>
      <c r="C95" s="68"/>
      <c r="D95" s="491"/>
      <c r="E95" s="75"/>
      <c r="F95" s="74"/>
      <c r="G95" s="74"/>
      <c r="H95" s="74"/>
      <c r="I95" s="74"/>
      <c r="J95" s="74"/>
    </row>
    <row r="96" spans="1:10" ht="15.75">
      <c r="A96" s="61" t="s">
        <v>311</v>
      </c>
      <c r="B96" s="502" t="s">
        <v>207</v>
      </c>
      <c r="C96" s="503" t="s">
        <v>642</v>
      </c>
      <c r="D96" s="68" t="e">
        <f>#REF!</f>
        <v>#REF!</v>
      </c>
      <c r="E96" s="567">
        <v>5</v>
      </c>
      <c r="F96" s="495">
        <v>5</v>
      </c>
      <c r="G96" s="495">
        <v>5</v>
      </c>
      <c r="H96" s="495">
        <v>5</v>
      </c>
      <c r="I96" s="495">
        <v>5</v>
      </c>
      <c r="J96" s="77">
        <f>SUM(E96:I96)</f>
        <v>25</v>
      </c>
    </row>
    <row r="97" spans="1:10" ht="15.75">
      <c r="A97" s="63"/>
      <c r="B97" s="502" t="s">
        <v>208</v>
      </c>
      <c r="C97" s="503" t="s">
        <v>163</v>
      </c>
      <c r="D97" s="68" t="e">
        <f>#REF!</f>
        <v>#REF!</v>
      </c>
      <c r="E97" s="567">
        <v>1</v>
      </c>
      <c r="F97" s="495">
        <v>1</v>
      </c>
      <c r="G97" s="495">
        <v>1</v>
      </c>
      <c r="H97" s="495">
        <v>1</v>
      </c>
      <c r="I97" s="495">
        <v>1</v>
      </c>
      <c r="J97" s="77">
        <f>SUM(E97:I97)</f>
        <v>5</v>
      </c>
    </row>
    <row r="98" spans="1:10" ht="15.75">
      <c r="A98" s="61" t="s">
        <v>312</v>
      </c>
      <c r="B98" s="45" t="s">
        <v>73</v>
      </c>
      <c r="C98" s="68" t="s">
        <v>147</v>
      </c>
      <c r="D98" s="491" t="e">
        <f>#REF!</f>
        <v>#REF!</v>
      </c>
      <c r="E98" s="75">
        <v>890</v>
      </c>
      <c r="F98" s="74">
        <v>890</v>
      </c>
      <c r="G98" s="74">
        <v>890</v>
      </c>
      <c r="H98" s="74">
        <v>890</v>
      </c>
      <c r="I98" s="74">
        <v>890</v>
      </c>
      <c r="J98" s="77">
        <f>SUM(E98:I98)</f>
        <v>4450</v>
      </c>
    </row>
    <row r="99" spans="1:10" ht="47.25">
      <c r="A99" s="61" t="s">
        <v>313</v>
      </c>
      <c r="B99" s="46" t="s">
        <v>74</v>
      </c>
      <c r="C99" s="68" t="s">
        <v>209</v>
      </c>
      <c r="D99" s="491" t="e">
        <f>#REF!</f>
        <v>#REF!</v>
      </c>
      <c r="E99" s="75">
        <v>395</v>
      </c>
      <c r="F99" s="74">
        <v>397</v>
      </c>
      <c r="G99" s="74">
        <v>399</v>
      </c>
      <c r="H99" s="74">
        <v>402</v>
      </c>
      <c r="I99" s="74">
        <v>405</v>
      </c>
      <c r="J99" s="77">
        <f>SUM(E99:I99)</f>
        <v>1998</v>
      </c>
    </row>
    <row r="100" spans="1:10" ht="26.25" customHeight="1">
      <c r="A100" s="61" t="s">
        <v>314</v>
      </c>
      <c r="B100" s="40" t="s">
        <v>75</v>
      </c>
      <c r="C100" s="68" t="s">
        <v>198</v>
      </c>
      <c r="D100" s="490">
        <v>0.7</v>
      </c>
      <c r="E100" s="554">
        <v>0.7</v>
      </c>
      <c r="F100" s="490">
        <v>0.7</v>
      </c>
      <c r="G100" s="490">
        <v>0.7</v>
      </c>
      <c r="H100" s="490">
        <v>0.7</v>
      </c>
      <c r="I100" s="490">
        <v>0.7</v>
      </c>
      <c r="J100" s="74">
        <v>0.7</v>
      </c>
    </row>
    <row r="101" spans="1:10" ht="21" customHeight="1">
      <c r="A101" s="61" t="s">
        <v>582</v>
      </c>
      <c r="B101" s="40" t="s">
        <v>210</v>
      </c>
      <c r="C101" s="68" t="s">
        <v>211</v>
      </c>
      <c r="D101" s="504" t="e">
        <f>#REF!</f>
        <v>#REF!</v>
      </c>
      <c r="E101" s="557" t="s">
        <v>212</v>
      </c>
      <c r="F101" s="73" t="s">
        <v>212</v>
      </c>
      <c r="G101" s="73" t="s">
        <v>212</v>
      </c>
      <c r="H101" s="73" t="s">
        <v>212</v>
      </c>
      <c r="I101" s="73" t="s">
        <v>212</v>
      </c>
      <c r="J101" s="73" t="s">
        <v>293</v>
      </c>
    </row>
    <row r="102" spans="1:10" ht="20.25" customHeight="1">
      <c r="A102" s="61" t="s">
        <v>585</v>
      </c>
      <c r="B102" s="40" t="s">
        <v>213</v>
      </c>
      <c r="C102" s="68" t="s">
        <v>214</v>
      </c>
      <c r="D102" s="504" t="e">
        <f>#REF!</f>
        <v>#REF!</v>
      </c>
      <c r="E102" s="557" t="s">
        <v>215</v>
      </c>
      <c r="F102" s="73" t="s">
        <v>215</v>
      </c>
      <c r="G102" s="73" t="s">
        <v>215</v>
      </c>
      <c r="H102" s="73" t="s">
        <v>215</v>
      </c>
      <c r="I102" s="73" t="s">
        <v>215</v>
      </c>
      <c r="J102" s="73" t="s">
        <v>294</v>
      </c>
    </row>
    <row r="103" spans="1:10" ht="15.75">
      <c r="A103" s="61" t="s">
        <v>588</v>
      </c>
      <c r="B103" s="40" t="s">
        <v>216</v>
      </c>
      <c r="C103" s="68" t="s">
        <v>217</v>
      </c>
      <c r="D103" s="504" t="e">
        <f>#REF!</f>
        <v>#REF!</v>
      </c>
      <c r="E103" s="570" t="s">
        <v>281</v>
      </c>
      <c r="F103" s="61" t="s">
        <v>281</v>
      </c>
      <c r="G103" s="61" t="s">
        <v>281</v>
      </c>
      <c r="H103" s="61" t="s">
        <v>281</v>
      </c>
      <c r="I103" s="61" t="s">
        <v>281</v>
      </c>
      <c r="J103" s="73" t="s">
        <v>295</v>
      </c>
    </row>
    <row r="104" spans="1:10" ht="36" customHeight="1">
      <c r="A104" s="61" t="s">
        <v>591</v>
      </c>
      <c r="B104" s="40" t="s">
        <v>218</v>
      </c>
      <c r="C104" s="68" t="s">
        <v>219</v>
      </c>
      <c r="D104" s="504" t="str">
        <f>'[2]KQ 2011-2015'!J97</f>
        <v>1/300</v>
      </c>
      <c r="E104" s="557" t="s">
        <v>220</v>
      </c>
      <c r="F104" s="74"/>
      <c r="G104" s="74"/>
      <c r="H104" s="74"/>
      <c r="I104" s="74"/>
      <c r="J104" s="74"/>
    </row>
    <row r="105" spans="1:10" ht="15.75">
      <c r="A105" s="61" t="s">
        <v>594</v>
      </c>
      <c r="B105" s="40" t="s">
        <v>284</v>
      </c>
      <c r="C105" s="68" t="s">
        <v>282</v>
      </c>
      <c r="D105" s="504" t="e">
        <f>#REF!</f>
        <v>#REF!</v>
      </c>
      <c r="E105" s="75">
        <v>30</v>
      </c>
      <c r="F105" s="74">
        <v>30</v>
      </c>
      <c r="G105" s="74">
        <v>30</v>
      </c>
      <c r="H105" s="74">
        <v>30</v>
      </c>
      <c r="I105" s="74">
        <v>30</v>
      </c>
      <c r="J105" s="74">
        <f>SUM(E105:I105)</f>
        <v>150</v>
      </c>
    </row>
    <row r="106" spans="1:10" ht="15.75">
      <c r="A106" s="61" t="s">
        <v>597</v>
      </c>
      <c r="B106" s="40" t="s">
        <v>283</v>
      </c>
      <c r="C106" s="68" t="s">
        <v>282</v>
      </c>
      <c r="D106" s="504">
        <v>7</v>
      </c>
      <c r="E106" s="75">
        <v>7</v>
      </c>
      <c r="F106" s="74">
        <v>7</v>
      </c>
      <c r="G106" s="74">
        <v>7</v>
      </c>
      <c r="H106" s="74">
        <v>7</v>
      </c>
      <c r="I106" s="74">
        <v>7</v>
      </c>
      <c r="J106" s="74"/>
    </row>
    <row r="107" spans="1:10" ht="31.5">
      <c r="A107" s="61" t="s">
        <v>619</v>
      </c>
      <c r="B107" s="40" t="s">
        <v>221</v>
      </c>
      <c r="C107" s="68" t="s">
        <v>222</v>
      </c>
      <c r="D107" s="504" t="e">
        <f>#REF!</f>
        <v>#REF!</v>
      </c>
      <c r="E107" s="75">
        <v>200</v>
      </c>
      <c r="F107" s="74">
        <v>200</v>
      </c>
      <c r="G107" s="74">
        <v>200</v>
      </c>
      <c r="H107" s="74">
        <v>200</v>
      </c>
      <c r="I107" s="74">
        <v>200</v>
      </c>
      <c r="J107" s="74">
        <f>SUM(E107:I107)</f>
        <v>1000</v>
      </c>
    </row>
    <row r="108" spans="1:10" ht="15.75">
      <c r="A108" s="63" t="s">
        <v>117</v>
      </c>
      <c r="B108" s="44" t="s">
        <v>76</v>
      </c>
      <c r="C108" s="68"/>
      <c r="D108" s="491"/>
      <c r="E108" s="75"/>
      <c r="F108" s="74"/>
      <c r="G108" s="74"/>
      <c r="H108" s="74"/>
      <c r="I108" s="74"/>
      <c r="J108" s="74"/>
    </row>
    <row r="109" spans="1:10" ht="24" customHeight="1">
      <c r="A109" s="65" t="s">
        <v>120</v>
      </c>
      <c r="B109" s="56" t="s">
        <v>296</v>
      </c>
      <c r="C109" s="482" t="s">
        <v>76</v>
      </c>
      <c r="D109" s="524">
        <v>10</v>
      </c>
      <c r="E109" s="558">
        <v>10</v>
      </c>
      <c r="F109" s="83">
        <v>10</v>
      </c>
      <c r="G109" s="83">
        <v>10</v>
      </c>
      <c r="H109" s="83">
        <v>10</v>
      </c>
      <c r="I109" s="83">
        <v>10</v>
      </c>
      <c r="J109" s="83">
        <v>10</v>
      </c>
    </row>
    <row r="110" spans="1:10" ht="24.75" customHeight="1">
      <c r="A110" s="518" t="s">
        <v>121</v>
      </c>
      <c r="B110" s="540" t="s">
        <v>77</v>
      </c>
      <c r="C110" s="519" t="s">
        <v>606</v>
      </c>
      <c r="D110" s="516">
        <v>2</v>
      </c>
      <c r="E110" s="566">
        <v>2</v>
      </c>
      <c r="F110" s="517">
        <v>2</v>
      </c>
      <c r="G110" s="517">
        <v>2</v>
      </c>
      <c r="H110" s="517">
        <v>2</v>
      </c>
      <c r="I110" s="517">
        <v>2</v>
      </c>
      <c r="J110" s="517">
        <v>2</v>
      </c>
    </row>
    <row r="111" spans="1:10" ht="24.75" customHeight="1">
      <c r="A111" s="61" t="s">
        <v>620</v>
      </c>
      <c r="B111" s="40" t="s">
        <v>604</v>
      </c>
      <c r="C111" s="68" t="s">
        <v>154</v>
      </c>
      <c r="D111" s="491" t="e">
        <f>#REF!</f>
        <v>#REF!</v>
      </c>
      <c r="E111" s="75">
        <v>500</v>
      </c>
      <c r="F111" s="74">
        <f>F112+200</f>
        <v>1200</v>
      </c>
      <c r="G111" s="74">
        <f>G112+200</f>
        <v>1500</v>
      </c>
      <c r="H111" s="74">
        <f>H112+200</f>
        <v>1600</v>
      </c>
      <c r="I111" s="74">
        <f>I112+200</f>
        <v>1700</v>
      </c>
      <c r="J111" s="74">
        <f>SUM(E111:I111)</f>
        <v>6500</v>
      </c>
    </row>
    <row r="112" spans="1:12" ht="24.75" customHeight="1">
      <c r="A112" s="61"/>
      <c r="B112" s="47" t="s">
        <v>605</v>
      </c>
      <c r="C112" s="68" t="s">
        <v>154</v>
      </c>
      <c r="D112" s="491"/>
      <c r="E112" s="75">
        <v>500</v>
      </c>
      <c r="F112" s="74">
        <v>1000</v>
      </c>
      <c r="G112" s="74">
        <v>1300</v>
      </c>
      <c r="H112" s="74">
        <v>1400</v>
      </c>
      <c r="I112" s="74">
        <v>1500</v>
      </c>
      <c r="J112" s="74">
        <f>SUM(E112:I112)</f>
        <v>5700</v>
      </c>
      <c r="L112" s="1">
        <f>J111-J112</f>
        <v>800</v>
      </c>
    </row>
    <row r="113" spans="1:10" ht="31.5">
      <c r="A113" s="61" t="s">
        <v>621</v>
      </c>
      <c r="B113" s="40" t="s">
        <v>78</v>
      </c>
      <c r="C113" s="68" t="s">
        <v>154</v>
      </c>
      <c r="D113" s="491" t="e">
        <f>#REF!</f>
        <v>#REF!</v>
      </c>
      <c r="E113" s="560" t="e">
        <f>SUM(E114:E115)</f>
        <v>#REF!</v>
      </c>
      <c r="F113" s="134" t="e">
        <f>SUM(F114:F115)</f>
        <v>#REF!</v>
      </c>
      <c r="G113" s="134" t="e">
        <f>SUM(G114:G115)</f>
        <v>#REF!</v>
      </c>
      <c r="H113" s="134" t="e">
        <f>SUM(H114:H115)</f>
        <v>#REF!</v>
      </c>
      <c r="I113" s="134" t="e">
        <f>SUM(I114:I115)</f>
        <v>#REF!</v>
      </c>
      <c r="J113" s="134" t="e">
        <f>I113</f>
        <v>#REF!</v>
      </c>
    </row>
    <row r="114" spans="1:10" ht="31.5">
      <c r="A114" s="61"/>
      <c r="B114" s="40" t="s">
        <v>79</v>
      </c>
      <c r="C114" s="68" t="s">
        <v>154</v>
      </c>
      <c r="D114" s="491" t="e">
        <f>#REF!</f>
        <v>#REF!</v>
      </c>
      <c r="E114" s="560" t="e">
        <f>D114+E112</f>
        <v>#REF!</v>
      </c>
      <c r="F114" s="134" t="e">
        <f>E114+F112</f>
        <v>#REF!</v>
      </c>
      <c r="G114" s="134" t="e">
        <f>F114+G112</f>
        <v>#REF!</v>
      </c>
      <c r="H114" s="134" t="e">
        <f>G114+H112</f>
        <v>#REF!</v>
      </c>
      <c r="I114" s="134" t="e">
        <f>H114+I112</f>
        <v>#REF!</v>
      </c>
      <c r="J114" s="134" t="e">
        <f>I114</f>
        <v>#REF!</v>
      </c>
    </row>
    <row r="115" spans="1:10" ht="15.75">
      <c r="A115" s="61"/>
      <c r="B115" s="40" t="s">
        <v>80</v>
      </c>
      <c r="C115" s="68" t="s">
        <v>154</v>
      </c>
      <c r="D115" s="491" t="e">
        <f>#REF!</f>
        <v>#REF!</v>
      </c>
      <c r="E115" s="560" t="e">
        <f>D115+E111-E112</f>
        <v>#REF!</v>
      </c>
      <c r="F115" s="134" t="e">
        <f>E115+F111-F112</f>
        <v>#REF!</v>
      </c>
      <c r="G115" s="134" t="e">
        <f>F115+G111-G112</f>
        <v>#REF!</v>
      </c>
      <c r="H115" s="134" t="e">
        <f>G115+H111-H112</f>
        <v>#REF!</v>
      </c>
      <c r="I115" s="134" t="e">
        <f>H115+I111-I112</f>
        <v>#REF!</v>
      </c>
      <c r="J115" s="134" t="e">
        <f>I115</f>
        <v>#REF!</v>
      </c>
    </row>
    <row r="116" spans="1:10" ht="15.75">
      <c r="A116" s="61" t="s">
        <v>622</v>
      </c>
      <c r="B116" s="40" t="s">
        <v>81</v>
      </c>
      <c r="C116" s="68" t="s">
        <v>146</v>
      </c>
      <c r="D116" s="491" t="e">
        <f>#REF!</f>
        <v>#REF!</v>
      </c>
      <c r="E116" s="560">
        <f>SUM(E117:E118)</f>
        <v>127300</v>
      </c>
      <c r="F116" s="134">
        <f>SUM(F117:F118)</f>
        <v>128400</v>
      </c>
      <c r="G116" s="134">
        <f>SUM(G117:G118)</f>
        <v>129500</v>
      </c>
      <c r="H116" s="134">
        <f>SUM(H117:H118)</f>
        <v>131700</v>
      </c>
      <c r="I116" s="134">
        <f>SUM(I117:I118)</f>
        <v>132700</v>
      </c>
      <c r="J116" s="134">
        <f>SUM(E116:I116)</f>
        <v>649600</v>
      </c>
    </row>
    <row r="117" spans="1:10" ht="31.5">
      <c r="A117" s="61"/>
      <c r="B117" s="40" t="s">
        <v>82</v>
      </c>
      <c r="C117" s="68" t="s">
        <v>146</v>
      </c>
      <c r="D117" s="491" t="e">
        <f>#REF!</f>
        <v>#REF!</v>
      </c>
      <c r="E117" s="560">
        <v>110000</v>
      </c>
      <c r="F117" s="134">
        <v>111000</v>
      </c>
      <c r="G117" s="134">
        <v>112000</v>
      </c>
      <c r="H117" s="134">
        <v>114000</v>
      </c>
      <c r="I117" s="134">
        <v>115000</v>
      </c>
      <c r="J117" s="134">
        <f>SUM(E117:I117)</f>
        <v>562000</v>
      </c>
    </row>
    <row r="118" spans="1:10" ht="15.75">
      <c r="A118" s="61"/>
      <c r="B118" s="40" t="s">
        <v>83</v>
      </c>
      <c r="C118" s="68" t="s">
        <v>146</v>
      </c>
      <c r="D118" s="491" t="e">
        <f>#REF!</f>
        <v>#REF!</v>
      </c>
      <c r="E118" s="560">
        <v>17300</v>
      </c>
      <c r="F118" s="134">
        <v>17400</v>
      </c>
      <c r="G118" s="134">
        <v>17500</v>
      </c>
      <c r="H118" s="134">
        <v>17700</v>
      </c>
      <c r="I118" s="134">
        <v>17700</v>
      </c>
      <c r="J118" s="134">
        <f>SUM(E118:I118)</f>
        <v>87600</v>
      </c>
    </row>
    <row r="119" spans="1:10" ht="15.75">
      <c r="A119" s="61" t="s">
        <v>623</v>
      </c>
      <c r="B119" s="40" t="s">
        <v>84</v>
      </c>
      <c r="C119" s="68" t="s">
        <v>155</v>
      </c>
      <c r="D119" s="491" t="e">
        <f>#REF!</f>
        <v>#REF!</v>
      </c>
      <c r="E119" s="560">
        <f>74000+10000</f>
        <v>84000</v>
      </c>
      <c r="F119" s="134">
        <f>74200+10200</f>
        <v>84400</v>
      </c>
      <c r="G119" s="134">
        <f>74500+10300</f>
        <v>84800</v>
      </c>
      <c r="H119" s="134">
        <f>74700+10350</f>
        <v>85050</v>
      </c>
      <c r="I119" s="134">
        <f>75000+10500</f>
        <v>85500</v>
      </c>
      <c r="J119" s="134">
        <f>SUM(E119:I119)</f>
        <v>423750</v>
      </c>
    </row>
    <row r="120" spans="1:10" ht="15.75">
      <c r="A120" s="61" t="s">
        <v>624</v>
      </c>
      <c r="B120" s="40" t="s">
        <v>230</v>
      </c>
      <c r="C120" s="68" t="s">
        <v>149</v>
      </c>
      <c r="D120" s="491"/>
      <c r="E120" s="560">
        <v>20900</v>
      </c>
      <c r="F120" s="134">
        <v>21200</v>
      </c>
      <c r="G120" s="134">
        <v>21500</v>
      </c>
      <c r="H120" s="134">
        <v>21800</v>
      </c>
      <c r="I120" s="134">
        <v>22100</v>
      </c>
      <c r="J120" s="134">
        <f>I120</f>
        <v>22100</v>
      </c>
    </row>
    <row r="121" spans="1:10" ht="15.75">
      <c r="A121" s="61" t="s">
        <v>625</v>
      </c>
      <c r="B121" s="40" t="s">
        <v>231</v>
      </c>
      <c r="C121" s="68" t="s">
        <v>232</v>
      </c>
      <c r="D121" s="491" t="e">
        <f>D122+D124</f>
        <v>#REF!</v>
      </c>
      <c r="E121" s="560">
        <v>2180</v>
      </c>
      <c r="F121" s="134">
        <v>2205</v>
      </c>
      <c r="G121" s="134">
        <v>2230</v>
      </c>
      <c r="H121" s="134">
        <v>2265</v>
      </c>
      <c r="I121" s="134">
        <v>2320</v>
      </c>
      <c r="J121" s="134">
        <f aca="true" t="shared" si="17" ref="J121:J129">SUM(E121:I121)</f>
        <v>11200</v>
      </c>
    </row>
    <row r="122" spans="1:10" ht="15.75">
      <c r="A122" s="61"/>
      <c r="B122" s="40" t="s">
        <v>233</v>
      </c>
      <c r="C122" s="68"/>
      <c r="D122" s="491" t="e">
        <f>#REF!</f>
        <v>#REF!</v>
      </c>
      <c r="E122" s="560">
        <v>1330</v>
      </c>
      <c r="F122" s="134">
        <v>1350</v>
      </c>
      <c r="G122" s="134">
        <v>1370</v>
      </c>
      <c r="H122" s="134">
        <v>1400</v>
      </c>
      <c r="I122" s="134">
        <v>1450</v>
      </c>
      <c r="J122" s="134">
        <f t="shared" si="17"/>
        <v>6900</v>
      </c>
    </row>
    <row r="123" spans="1:11" ht="15.75">
      <c r="A123" s="61"/>
      <c r="B123" s="40" t="s">
        <v>234</v>
      </c>
      <c r="C123" s="68"/>
      <c r="D123" s="491" t="e">
        <f>#REF!</f>
        <v>#REF!</v>
      </c>
      <c r="E123" s="560">
        <v>830</v>
      </c>
      <c r="F123" s="134">
        <v>825</v>
      </c>
      <c r="G123" s="134">
        <v>840</v>
      </c>
      <c r="H123" s="134">
        <v>850</v>
      </c>
      <c r="I123" s="134">
        <v>860</v>
      </c>
      <c r="J123" s="134">
        <f t="shared" si="17"/>
        <v>4205</v>
      </c>
      <c r="K123" s="479">
        <f>J123+J125</f>
        <v>6990</v>
      </c>
    </row>
    <row r="124" spans="1:10" ht="15.75">
      <c r="A124" s="61"/>
      <c r="B124" s="40" t="s">
        <v>235</v>
      </c>
      <c r="C124" s="68"/>
      <c r="D124" s="491" t="e">
        <f>#REF!</f>
        <v>#REF!</v>
      </c>
      <c r="E124" s="560">
        <v>850</v>
      </c>
      <c r="F124" s="134">
        <v>855</v>
      </c>
      <c r="G124" s="134">
        <v>860</v>
      </c>
      <c r="H124" s="134">
        <v>865</v>
      </c>
      <c r="I124" s="134">
        <v>870</v>
      </c>
      <c r="J124" s="134">
        <f t="shared" si="17"/>
        <v>4300</v>
      </c>
    </row>
    <row r="125" spans="1:10" ht="15.75">
      <c r="A125" s="61"/>
      <c r="B125" s="40" t="s">
        <v>234</v>
      </c>
      <c r="C125" s="68"/>
      <c r="D125" s="491" t="e">
        <f>#REF!</f>
        <v>#REF!</v>
      </c>
      <c r="E125" s="560">
        <v>550</v>
      </c>
      <c r="F125" s="134">
        <v>550</v>
      </c>
      <c r="G125" s="134">
        <v>555</v>
      </c>
      <c r="H125" s="134">
        <v>560</v>
      </c>
      <c r="I125" s="134">
        <v>570</v>
      </c>
      <c r="J125" s="134">
        <f t="shared" si="17"/>
        <v>2785</v>
      </c>
    </row>
    <row r="126" spans="1:10" ht="15.75">
      <c r="A126" s="61" t="s">
        <v>626</v>
      </c>
      <c r="B126" s="40" t="s">
        <v>236</v>
      </c>
      <c r="C126" s="68" t="s">
        <v>239</v>
      </c>
      <c r="D126" s="491">
        <f>D127+D128</f>
        <v>1280538</v>
      </c>
      <c r="E126" s="560">
        <v>258300</v>
      </c>
      <c r="F126" s="134">
        <v>258500</v>
      </c>
      <c r="G126" s="134">
        <v>258700</v>
      </c>
      <c r="H126" s="134">
        <v>259000</v>
      </c>
      <c r="I126" s="134">
        <v>259200</v>
      </c>
      <c r="J126" s="134">
        <f t="shared" si="17"/>
        <v>1293700</v>
      </c>
    </row>
    <row r="127" spans="1:10" ht="15.75">
      <c r="A127" s="61"/>
      <c r="B127" s="40" t="s">
        <v>237</v>
      </c>
      <c r="C127" s="68" t="s">
        <v>163</v>
      </c>
      <c r="D127" s="491">
        <v>1092792</v>
      </c>
      <c r="E127" s="560">
        <v>220000</v>
      </c>
      <c r="F127" s="134">
        <v>220100</v>
      </c>
      <c r="G127" s="134">
        <v>220200</v>
      </c>
      <c r="H127" s="134">
        <v>220400</v>
      </c>
      <c r="I127" s="134">
        <v>220500</v>
      </c>
      <c r="J127" s="134">
        <f t="shared" si="17"/>
        <v>1101200</v>
      </c>
    </row>
    <row r="128" spans="1:10" ht="15.75">
      <c r="A128" s="61"/>
      <c r="B128" s="40" t="s">
        <v>238</v>
      </c>
      <c r="C128" s="68" t="s">
        <v>163</v>
      </c>
      <c r="D128" s="491">
        <v>187746</v>
      </c>
      <c r="E128" s="560">
        <v>38300</v>
      </c>
      <c r="F128" s="134">
        <v>38400</v>
      </c>
      <c r="G128" s="134">
        <v>38500</v>
      </c>
      <c r="H128" s="134">
        <v>38600</v>
      </c>
      <c r="I128" s="134">
        <v>38700</v>
      </c>
      <c r="J128" s="134">
        <f t="shared" si="17"/>
        <v>192500</v>
      </c>
    </row>
    <row r="129" spans="1:10" ht="15.75">
      <c r="A129" s="61" t="s">
        <v>627</v>
      </c>
      <c r="B129" s="40" t="s">
        <v>240</v>
      </c>
      <c r="C129" s="68"/>
      <c r="D129" s="491">
        <v>64</v>
      </c>
      <c r="E129" s="560">
        <v>12</v>
      </c>
      <c r="F129" s="134">
        <v>12</v>
      </c>
      <c r="G129" s="134">
        <v>12</v>
      </c>
      <c r="H129" s="134">
        <v>13</v>
      </c>
      <c r="I129" s="134">
        <v>12</v>
      </c>
      <c r="J129" s="134">
        <f t="shared" si="17"/>
        <v>61</v>
      </c>
    </row>
    <row r="130" spans="1:10" ht="15.75">
      <c r="A130" s="61" t="s">
        <v>628</v>
      </c>
      <c r="B130" s="40" t="s">
        <v>241</v>
      </c>
      <c r="C130" s="68"/>
      <c r="D130" s="488">
        <v>5</v>
      </c>
      <c r="E130" s="560"/>
      <c r="F130" s="134">
        <v>1</v>
      </c>
      <c r="G130" s="134"/>
      <c r="H130" s="134">
        <v>1</v>
      </c>
      <c r="I130" s="134"/>
      <c r="J130" s="74">
        <v>2</v>
      </c>
    </row>
    <row r="131" spans="1:10" ht="31.5">
      <c r="A131" s="65" t="s">
        <v>629</v>
      </c>
      <c r="B131" s="56" t="s">
        <v>242</v>
      </c>
      <c r="C131" s="482" t="s">
        <v>227</v>
      </c>
      <c r="D131" s="524">
        <v>1</v>
      </c>
      <c r="E131" s="571">
        <v>1</v>
      </c>
      <c r="F131" s="542"/>
      <c r="G131" s="542"/>
      <c r="H131" s="542">
        <v>1</v>
      </c>
      <c r="I131" s="542"/>
      <c r="J131" s="83">
        <v>2</v>
      </c>
    </row>
    <row r="132" spans="1:10" ht="15.75">
      <c r="A132" s="535" t="s">
        <v>118</v>
      </c>
      <c r="B132" s="541" t="s">
        <v>85</v>
      </c>
      <c r="C132" s="519"/>
      <c r="D132" s="516">
        <v>0</v>
      </c>
      <c r="E132" s="566"/>
      <c r="F132" s="517"/>
      <c r="G132" s="517"/>
      <c r="H132" s="517"/>
      <c r="I132" s="517"/>
      <c r="J132" s="517"/>
    </row>
    <row r="133" spans="1:10" ht="15.75">
      <c r="A133" s="61" t="s">
        <v>120</v>
      </c>
      <c r="B133" s="40" t="s">
        <v>86</v>
      </c>
      <c r="C133" s="68" t="s">
        <v>156</v>
      </c>
      <c r="D133" s="505" t="e">
        <f aca="true" t="shared" si="18" ref="D133:I133">SUM(D134:D139)</f>
        <v>#REF!</v>
      </c>
      <c r="E133" s="564">
        <f t="shared" si="18"/>
        <v>117.9</v>
      </c>
      <c r="F133" s="492">
        <f t="shared" si="18"/>
        <v>122.1</v>
      </c>
      <c r="G133" s="492">
        <f t="shared" si="18"/>
        <v>126.5</v>
      </c>
      <c r="H133" s="492">
        <f t="shared" si="18"/>
        <v>130.8</v>
      </c>
      <c r="I133" s="492">
        <f t="shared" si="18"/>
        <v>135.5</v>
      </c>
      <c r="J133" s="492">
        <f>SUM(E133:I133)</f>
        <v>632.8</v>
      </c>
    </row>
    <row r="134" spans="1:10" ht="15.75">
      <c r="A134" s="61"/>
      <c r="B134" s="40" t="s">
        <v>181</v>
      </c>
      <c r="C134" s="68" t="s">
        <v>156</v>
      </c>
      <c r="D134" s="505" t="e">
        <f>#REF!</f>
        <v>#REF!</v>
      </c>
      <c r="E134" s="565">
        <v>5</v>
      </c>
      <c r="F134" s="493">
        <v>5.3</v>
      </c>
      <c r="G134" s="493">
        <v>5.6</v>
      </c>
      <c r="H134" s="493">
        <v>5.8</v>
      </c>
      <c r="I134" s="493">
        <v>6.1</v>
      </c>
      <c r="J134" s="506">
        <f aca="true" t="shared" si="19" ref="J134:J139">SUM(E134:I134)</f>
        <v>27.799999999999997</v>
      </c>
    </row>
    <row r="135" spans="1:10" ht="15.75">
      <c r="A135" s="61"/>
      <c r="B135" s="40" t="s">
        <v>87</v>
      </c>
      <c r="C135" s="68" t="s">
        <v>156</v>
      </c>
      <c r="D135" s="505" t="e">
        <f>#REF!</f>
        <v>#REF!</v>
      </c>
      <c r="E135" s="557">
        <v>0</v>
      </c>
      <c r="F135" s="73">
        <v>0</v>
      </c>
      <c r="G135" s="73">
        <v>0</v>
      </c>
      <c r="H135" s="73">
        <v>0</v>
      </c>
      <c r="I135" s="73">
        <v>0</v>
      </c>
      <c r="J135" s="506">
        <f t="shared" si="19"/>
        <v>0</v>
      </c>
    </row>
    <row r="136" spans="1:10" ht="15.75">
      <c r="A136" s="61"/>
      <c r="B136" s="40" t="s">
        <v>88</v>
      </c>
      <c r="C136" s="68" t="s">
        <v>156</v>
      </c>
      <c r="D136" s="505" t="e">
        <f>#REF!</f>
        <v>#REF!</v>
      </c>
      <c r="E136" s="557">
        <v>15.8</v>
      </c>
      <c r="F136" s="73">
        <v>16.6</v>
      </c>
      <c r="G136" s="73">
        <v>17.4</v>
      </c>
      <c r="H136" s="73">
        <v>18.3</v>
      </c>
      <c r="I136" s="73">
        <v>19.2</v>
      </c>
      <c r="J136" s="506">
        <f t="shared" si="19"/>
        <v>87.30000000000001</v>
      </c>
    </row>
    <row r="137" spans="1:10" ht="15.75">
      <c r="A137" s="61"/>
      <c r="B137" s="40" t="s">
        <v>180</v>
      </c>
      <c r="C137" s="68" t="s">
        <v>156</v>
      </c>
      <c r="D137" s="505" t="e">
        <f>#REF!</f>
        <v>#REF!</v>
      </c>
      <c r="E137" s="572">
        <v>6.3</v>
      </c>
      <c r="F137" s="501">
        <v>6.6</v>
      </c>
      <c r="G137" s="501">
        <v>7</v>
      </c>
      <c r="H137" s="501">
        <v>7.3</v>
      </c>
      <c r="I137" s="501">
        <v>7.7</v>
      </c>
      <c r="J137" s="506">
        <f t="shared" si="19"/>
        <v>34.9</v>
      </c>
    </row>
    <row r="138" spans="1:10" ht="15.75">
      <c r="A138" s="61"/>
      <c r="B138" s="40" t="s">
        <v>89</v>
      </c>
      <c r="C138" s="68" t="s">
        <v>156</v>
      </c>
      <c r="D138" s="505" t="e">
        <f>#REF!</f>
        <v>#REF!</v>
      </c>
      <c r="E138" s="572">
        <v>6.8</v>
      </c>
      <c r="F138" s="501">
        <v>7.1</v>
      </c>
      <c r="G138" s="501">
        <v>7.4</v>
      </c>
      <c r="H138" s="501">
        <v>7.6</v>
      </c>
      <c r="I138" s="501">
        <v>8</v>
      </c>
      <c r="J138" s="506">
        <f t="shared" si="19"/>
        <v>36.9</v>
      </c>
    </row>
    <row r="139" spans="1:10" ht="15.75">
      <c r="A139" s="61"/>
      <c r="B139" s="40" t="s">
        <v>90</v>
      </c>
      <c r="C139" s="68" t="s">
        <v>156</v>
      </c>
      <c r="D139" s="505" t="e">
        <f>#REF!</f>
        <v>#REF!</v>
      </c>
      <c r="E139" s="572">
        <v>84</v>
      </c>
      <c r="F139" s="501">
        <v>86.5</v>
      </c>
      <c r="G139" s="501">
        <v>89.1</v>
      </c>
      <c r="H139" s="501">
        <v>91.8</v>
      </c>
      <c r="I139" s="501">
        <v>94.5</v>
      </c>
      <c r="J139" s="506">
        <f t="shared" si="19"/>
        <v>445.90000000000003</v>
      </c>
    </row>
    <row r="140" spans="1:10" ht="47.25">
      <c r="A140" s="61" t="s">
        <v>121</v>
      </c>
      <c r="B140" s="40" t="s">
        <v>91</v>
      </c>
      <c r="C140" s="68" t="s">
        <v>157</v>
      </c>
      <c r="D140" s="490">
        <v>0.3</v>
      </c>
      <c r="E140" s="557">
        <v>0.2</v>
      </c>
      <c r="F140" s="73">
        <v>0.2</v>
      </c>
      <c r="G140" s="73">
        <v>0.2</v>
      </c>
      <c r="H140" s="73">
        <v>0.2</v>
      </c>
      <c r="I140" s="73">
        <v>0.2</v>
      </c>
      <c r="J140" s="73">
        <v>0.2</v>
      </c>
    </row>
    <row r="141" spans="1:10" ht="15.75">
      <c r="A141" s="63" t="s">
        <v>555</v>
      </c>
      <c r="B141" s="48" t="s">
        <v>30</v>
      </c>
      <c r="C141" s="68"/>
      <c r="D141" s="491">
        <v>0</v>
      </c>
      <c r="E141" s="75"/>
      <c r="F141" s="74"/>
      <c r="G141" s="74"/>
      <c r="H141" s="74"/>
      <c r="I141" s="74"/>
      <c r="J141" s="74"/>
    </row>
    <row r="142" spans="1:10" ht="15.75">
      <c r="A142" s="61" t="s">
        <v>122</v>
      </c>
      <c r="B142" s="49" t="s">
        <v>92</v>
      </c>
      <c r="C142" s="68" t="s">
        <v>136</v>
      </c>
      <c r="D142" s="491" t="e">
        <f>#REF!</f>
        <v>#REF!</v>
      </c>
      <c r="E142" s="75">
        <v>10</v>
      </c>
      <c r="F142" s="74">
        <v>10</v>
      </c>
      <c r="G142" s="74">
        <v>10</v>
      </c>
      <c r="H142" s="74">
        <v>10</v>
      </c>
      <c r="I142" s="74">
        <v>10</v>
      </c>
      <c r="J142" s="74">
        <v>10</v>
      </c>
    </row>
    <row r="143" spans="1:10" ht="47.25">
      <c r="A143" s="61" t="s">
        <v>123</v>
      </c>
      <c r="B143" s="49" t="s">
        <v>93</v>
      </c>
      <c r="C143" s="68" t="s">
        <v>158</v>
      </c>
      <c r="D143" s="491" t="e">
        <f>#REF!</f>
        <v>#REF!</v>
      </c>
      <c r="E143" s="75">
        <v>8</v>
      </c>
      <c r="F143" s="74">
        <v>9</v>
      </c>
      <c r="G143" s="74">
        <v>10</v>
      </c>
      <c r="H143" s="74">
        <v>10</v>
      </c>
      <c r="I143" s="74">
        <v>10</v>
      </c>
      <c r="J143" s="74">
        <v>10</v>
      </c>
    </row>
    <row r="144" spans="1:10" ht="15.75">
      <c r="A144" s="61" t="s">
        <v>124</v>
      </c>
      <c r="B144" s="49" t="s">
        <v>94</v>
      </c>
      <c r="C144" s="68" t="s">
        <v>136</v>
      </c>
      <c r="D144" s="491" t="e">
        <f>#REF!</f>
        <v>#REF!</v>
      </c>
      <c r="E144" s="75">
        <v>80</v>
      </c>
      <c r="F144" s="74">
        <v>90</v>
      </c>
      <c r="G144" s="74">
        <v>100</v>
      </c>
      <c r="H144" s="74">
        <v>100</v>
      </c>
      <c r="I144" s="74">
        <v>100</v>
      </c>
      <c r="J144" s="74">
        <v>100</v>
      </c>
    </row>
    <row r="145" spans="1:17" ht="31.5">
      <c r="A145" s="61" t="s">
        <v>125</v>
      </c>
      <c r="B145" s="49" t="s">
        <v>95</v>
      </c>
      <c r="C145" s="68" t="s">
        <v>158</v>
      </c>
      <c r="D145" s="491" t="e">
        <f>#REF!</f>
        <v>#REF!</v>
      </c>
      <c r="E145" s="573">
        <v>50</v>
      </c>
      <c r="F145" s="507">
        <v>57</v>
      </c>
      <c r="G145" s="74">
        <v>64</v>
      </c>
      <c r="H145" s="74">
        <v>71</v>
      </c>
      <c r="I145" s="74">
        <v>78</v>
      </c>
      <c r="J145" s="74">
        <f>I145</f>
        <v>78</v>
      </c>
      <c r="Q145" s="479" t="e">
        <f>J145-D145</f>
        <v>#REF!</v>
      </c>
    </row>
    <row r="146" spans="1:17" ht="31.5">
      <c r="A146" s="61" t="s">
        <v>126</v>
      </c>
      <c r="B146" s="49" t="s">
        <v>96</v>
      </c>
      <c r="C146" s="68" t="s">
        <v>136</v>
      </c>
      <c r="D146" s="490" t="e">
        <f>#REF!</f>
        <v>#REF!</v>
      </c>
      <c r="E146" s="573" t="s">
        <v>556</v>
      </c>
      <c r="F146" s="504" t="s">
        <v>557</v>
      </c>
      <c r="G146" s="504" t="s">
        <v>558</v>
      </c>
      <c r="H146" s="504" t="s">
        <v>559</v>
      </c>
      <c r="I146" s="504">
        <v>60</v>
      </c>
      <c r="J146" s="504">
        <f>I146</f>
        <v>60</v>
      </c>
      <c r="Q146" s="479"/>
    </row>
    <row r="147" spans="1:10" ht="31.5">
      <c r="A147" s="61" t="s">
        <v>127</v>
      </c>
      <c r="B147" s="49" t="s">
        <v>97</v>
      </c>
      <c r="C147" s="68" t="s">
        <v>158</v>
      </c>
      <c r="D147" s="490" t="e">
        <f>#REF!</f>
        <v>#REF!</v>
      </c>
      <c r="E147" s="75">
        <v>360</v>
      </c>
      <c r="F147" s="74">
        <v>382</v>
      </c>
      <c r="G147" s="74">
        <v>404</v>
      </c>
      <c r="H147" s="74">
        <v>426</v>
      </c>
      <c r="I147" s="74">
        <v>448</v>
      </c>
      <c r="J147" s="74">
        <f>I147</f>
        <v>448</v>
      </c>
    </row>
    <row r="148" spans="1:10" ht="31.5">
      <c r="A148" s="61" t="s">
        <v>128</v>
      </c>
      <c r="B148" s="49" t="s">
        <v>98</v>
      </c>
      <c r="C148" s="68" t="s">
        <v>136</v>
      </c>
      <c r="D148" s="490">
        <v>19.1</v>
      </c>
      <c r="E148" s="75">
        <v>20.1</v>
      </c>
      <c r="F148" s="74" t="s">
        <v>560</v>
      </c>
      <c r="G148" s="74" t="s">
        <v>561</v>
      </c>
      <c r="H148" s="74">
        <v>24</v>
      </c>
      <c r="I148" s="74">
        <v>25</v>
      </c>
      <c r="J148" s="74">
        <f>I148</f>
        <v>25</v>
      </c>
    </row>
    <row r="149" spans="1:10" ht="15.75">
      <c r="A149" s="63" t="s">
        <v>562</v>
      </c>
      <c r="B149" s="50" t="s">
        <v>34</v>
      </c>
      <c r="C149" s="68"/>
      <c r="D149" s="491">
        <v>0</v>
      </c>
      <c r="E149" s="75"/>
      <c r="F149" s="74"/>
      <c r="G149" s="74"/>
      <c r="H149" s="74"/>
      <c r="I149" s="74"/>
      <c r="J149" s="74"/>
    </row>
    <row r="150" spans="1:10" ht="15.75">
      <c r="A150" s="61" t="s">
        <v>630</v>
      </c>
      <c r="B150" s="40" t="s">
        <v>99</v>
      </c>
      <c r="C150" s="68" t="s">
        <v>159</v>
      </c>
      <c r="D150" s="491" t="e">
        <f>#REF!</f>
        <v>#REF!</v>
      </c>
      <c r="E150" s="561">
        <f>E152+E153</f>
        <v>260750</v>
      </c>
      <c r="F150" s="76">
        <f>F152+F153</f>
        <v>265770</v>
      </c>
      <c r="G150" s="76">
        <f>G152+G153</f>
        <v>272800</v>
      </c>
      <c r="H150" s="76">
        <f>H152+H153</f>
        <v>359850</v>
      </c>
      <c r="I150" s="76">
        <f>I152+I153</f>
        <v>280860</v>
      </c>
      <c r="J150" s="134">
        <f>E150+F150+G150+H150+I150</f>
        <v>1440030</v>
      </c>
    </row>
    <row r="151" spans="1:10" ht="15.75">
      <c r="A151" s="65"/>
      <c r="B151" s="56" t="s">
        <v>100</v>
      </c>
      <c r="C151" s="482" t="s">
        <v>159</v>
      </c>
      <c r="D151" s="524" t="e">
        <f>#REF!</f>
        <v>#REF!</v>
      </c>
      <c r="E151" s="562">
        <f>17500+30</f>
        <v>17530</v>
      </c>
      <c r="F151" s="531">
        <f>18000+50</f>
        <v>18050</v>
      </c>
      <c r="G151" s="531">
        <f>18500+50</f>
        <v>18550</v>
      </c>
      <c r="H151" s="531">
        <f>20000+60</f>
        <v>20060</v>
      </c>
      <c r="I151" s="531">
        <f>19000+50</f>
        <v>19050</v>
      </c>
      <c r="J151" s="542">
        <f>E151+F151+G151+H151+I151</f>
        <v>93240</v>
      </c>
    </row>
    <row r="152" spans="1:10" ht="15.75" hidden="1">
      <c r="A152" s="518"/>
      <c r="B152" s="543" t="s">
        <v>525</v>
      </c>
      <c r="C152" s="519"/>
      <c r="D152" s="516"/>
      <c r="E152" s="563">
        <v>750</v>
      </c>
      <c r="F152" s="526">
        <v>770</v>
      </c>
      <c r="G152" s="526">
        <v>800</v>
      </c>
      <c r="H152" s="526">
        <v>850</v>
      </c>
      <c r="I152" s="526">
        <v>860</v>
      </c>
      <c r="J152" s="544">
        <f>E152+F152+G152+H152+I152</f>
        <v>4030</v>
      </c>
    </row>
    <row r="153" spans="1:10" ht="15.75" hidden="1">
      <c r="A153" s="61"/>
      <c r="B153" s="40" t="s">
        <v>526</v>
      </c>
      <c r="C153" s="68"/>
      <c r="D153" s="491"/>
      <c r="E153" s="561">
        <v>260000</v>
      </c>
      <c r="F153" s="76">
        <v>265000</v>
      </c>
      <c r="G153" s="76">
        <v>272000</v>
      </c>
      <c r="H153" s="76">
        <v>359000</v>
      </c>
      <c r="I153" s="76">
        <v>280000</v>
      </c>
      <c r="J153" s="134">
        <f>E153+F153+G153+H153+I153</f>
        <v>1436000</v>
      </c>
    </row>
    <row r="154" spans="1:10" ht="15.75">
      <c r="A154" s="61" t="s">
        <v>631</v>
      </c>
      <c r="B154" s="40" t="s">
        <v>179</v>
      </c>
      <c r="C154" s="68" t="s">
        <v>137</v>
      </c>
      <c r="D154" s="491">
        <f>'[4]2011-2015'!J149</f>
        <v>5</v>
      </c>
      <c r="E154" s="557">
        <v>1</v>
      </c>
      <c r="F154" s="73">
        <v>1</v>
      </c>
      <c r="G154" s="73">
        <v>1</v>
      </c>
      <c r="H154" s="73">
        <v>1</v>
      </c>
      <c r="I154" s="73">
        <v>1</v>
      </c>
      <c r="J154" s="76">
        <f>E154+F154+G154+H154+I154</f>
        <v>5</v>
      </c>
    </row>
    <row r="155" spans="1:10" ht="15.75">
      <c r="A155" s="61" t="s">
        <v>632</v>
      </c>
      <c r="B155" s="40" t="s">
        <v>101</v>
      </c>
      <c r="C155" s="68" t="s">
        <v>137</v>
      </c>
      <c r="D155" s="491">
        <v>17</v>
      </c>
      <c r="E155" s="557">
        <v>18</v>
      </c>
      <c r="F155" s="73">
        <v>21</v>
      </c>
      <c r="G155" s="73">
        <v>23</v>
      </c>
      <c r="H155" s="73">
        <v>25</v>
      </c>
      <c r="I155" s="73">
        <v>27</v>
      </c>
      <c r="J155" s="73">
        <f>I155</f>
        <v>27</v>
      </c>
    </row>
    <row r="156" spans="1:10" ht="15.75">
      <c r="A156" s="61" t="s">
        <v>633</v>
      </c>
      <c r="B156" s="40" t="s">
        <v>563</v>
      </c>
      <c r="C156" s="68" t="s">
        <v>564</v>
      </c>
      <c r="D156" s="491" t="e">
        <f>#REF!</f>
        <v>#REF!</v>
      </c>
      <c r="E156" s="557">
        <v>4</v>
      </c>
      <c r="F156" s="73">
        <v>3</v>
      </c>
      <c r="G156" s="73">
        <v>3</v>
      </c>
      <c r="H156" s="73">
        <v>4</v>
      </c>
      <c r="I156" s="73">
        <v>3</v>
      </c>
      <c r="J156" s="73">
        <f>SUM(E156:I156)</f>
        <v>17</v>
      </c>
    </row>
    <row r="157" spans="1:10" ht="31.5">
      <c r="A157" s="61" t="s">
        <v>634</v>
      </c>
      <c r="B157" s="40" t="s">
        <v>280</v>
      </c>
      <c r="C157" s="68" t="s">
        <v>285</v>
      </c>
      <c r="D157" s="491" t="e">
        <f>#REF!</f>
        <v>#REF!</v>
      </c>
      <c r="E157" s="557"/>
      <c r="F157" s="73">
        <v>2</v>
      </c>
      <c r="G157" s="73">
        <v>2</v>
      </c>
      <c r="H157" s="73">
        <v>2</v>
      </c>
      <c r="I157" s="73">
        <v>2</v>
      </c>
      <c r="J157" s="73">
        <f>SUM(E157:I157)</f>
        <v>8</v>
      </c>
    </row>
    <row r="158" spans="1:10" ht="31.5">
      <c r="A158" s="61" t="s">
        <v>635</v>
      </c>
      <c r="B158" s="40" t="s">
        <v>102</v>
      </c>
      <c r="C158" s="68" t="s">
        <v>160</v>
      </c>
      <c r="D158" s="491">
        <v>3</v>
      </c>
      <c r="E158" s="557">
        <v>2</v>
      </c>
      <c r="F158" s="73">
        <v>3</v>
      </c>
      <c r="G158" s="73">
        <v>3</v>
      </c>
      <c r="H158" s="73">
        <v>3</v>
      </c>
      <c r="I158" s="73">
        <v>3</v>
      </c>
      <c r="J158" s="73">
        <f>I158</f>
        <v>3</v>
      </c>
    </row>
    <row r="159" spans="1:10" ht="15.75">
      <c r="A159" s="61" t="s">
        <v>636</v>
      </c>
      <c r="B159" s="40" t="s">
        <v>175</v>
      </c>
      <c r="C159" s="68" t="s">
        <v>161</v>
      </c>
      <c r="D159" s="491" t="e">
        <f>#REF!</f>
        <v>#REF!</v>
      </c>
      <c r="E159" s="75">
        <v>170</v>
      </c>
      <c r="F159" s="74">
        <v>190</v>
      </c>
      <c r="G159" s="74">
        <v>200</v>
      </c>
      <c r="H159" s="74">
        <v>210</v>
      </c>
      <c r="I159" s="74">
        <v>220</v>
      </c>
      <c r="J159" s="134">
        <f>E159+F159+G159+H159+I159</f>
        <v>990</v>
      </c>
    </row>
    <row r="160" spans="1:10" ht="31.5">
      <c r="A160" s="61" t="s">
        <v>637</v>
      </c>
      <c r="B160" s="40" t="s">
        <v>103</v>
      </c>
      <c r="C160" s="68" t="s">
        <v>161</v>
      </c>
      <c r="D160" s="491" t="e">
        <f>#REF!</f>
        <v>#REF!</v>
      </c>
      <c r="E160" s="560" t="e">
        <f>D160+E159</f>
        <v>#REF!</v>
      </c>
      <c r="F160" s="134" t="e">
        <f>E160+F159</f>
        <v>#REF!</v>
      </c>
      <c r="G160" s="134" t="e">
        <f>F160+G159</f>
        <v>#REF!</v>
      </c>
      <c r="H160" s="134" t="e">
        <f>G160+H159</f>
        <v>#REF!</v>
      </c>
      <c r="I160" s="134" t="e">
        <f>H160+I159</f>
        <v>#REF!</v>
      </c>
      <c r="J160" s="134" t="e">
        <f>I160</f>
        <v>#REF!</v>
      </c>
    </row>
    <row r="161" spans="1:10" ht="15.75">
      <c r="A161" s="60" t="s">
        <v>20</v>
      </c>
      <c r="B161" s="51" t="s">
        <v>104</v>
      </c>
      <c r="C161" s="70"/>
      <c r="D161" s="491">
        <v>0</v>
      </c>
      <c r="E161" s="75"/>
      <c r="F161" s="74"/>
      <c r="G161" s="74"/>
      <c r="H161" s="74"/>
      <c r="I161" s="74"/>
      <c r="J161" s="74"/>
    </row>
    <row r="162" spans="1:10" ht="15.75">
      <c r="A162" s="63">
        <v>1</v>
      </c>
      <c r="B162" s="52" t="s">
        <v>105</v>
      </c>
      <c r="C162" s="68"/>
      <c r="D162" s="491">
        <v>0</v>
      </c>
      <c r="E162" s="75"/>
      <c r="F162" s="74"/>
      <c r="G162" s="74"/>
      <c r="H162" s="74"/>
      <c r="I162" s="74"/>
      <c r="J162" s="74"/>
    </row>
    <row r="163" spans="1:10" ht="31.5">
      <c r="A163" s="61" t="s">
        <v>319</v>
      </c>
      <c r="B163" s="53" t="s">
        <v>106</v>
      </c>
      <c r="C163" s="68" t="s">
        <v>139</v>
      </c>
      <c r="D163" s="491">
        <f>'[4]2011-2015'!J162</f>
        <v>134500</v>
      </c>
      <c r="E163" s="560">
        <v>140150</v>
      </c>
      <c r="F163" s="134">
        <v>147050</v>
      </c>
      <c r="G163" s="134">
        <v>153970</v>
      </c>
      <c r="H163" s="134">
        <v>160675</v>
      </c>
      <c r="I163" s="134">
        <v>168200</v>
      </c>
      <c r="J163" s="134">
        <f>I163</f>
        <v>168200</v>
      </c>
    </row>
    <row r="164" spans="1:10" ht="47.25">
      <c r="A164" s="61" t="s">
        <v>320</v>
      </c>
      <c r="B164" s="54" t="s">
        <v>40</v>
      </c>
      <c r="C164" s="68" t="s">
        <v>136</v>
      </c>
      <c r="D164" s="491" t="str">
        <f>'[4]2011-2015'!J163</f>
        <v>24,7</v>
      </c>
      <c r="E164" s="75">
        <v>25.3</v>
      </c>
      <c r="F164" s="74">
        <v>26.4</v>
      </c>
      <c r="G164" s="74">
        <v>27.3</v>
      </c>
      <c r="H164" s="74">
        <v>28.1</v>
      </c>
      <c r="I164" s="492">
        <v>29</v>
      </c>
      <c r="J164" s="492">
        <f>I164</f>
        <v>29</v>
      </c>
    </row>
    <row r="165" spans="1:10" ht="15.75">
      <c r="A165" s="61" t="s">
        <v>321</v>
      </c>
      <c r="B165" s="34" t="s">
        <v>41</v>
      </c>
      <c r="C165" s="68" t="s">
        <v>140</v>
      </c>
      <c r="D165" s="491">
        <f>'[4]2011-2015'!J164</f>
        <v>17300</v>
      </c>
      <c r="E165" s="560">
        <v>18270</v>
      </c>
      <c r="F165" s="134">
        <v>19250</v>
      </c>
      <c r="G165" s="134">
        <v>20250</v>
      </c>
      <c r="H165" s="134">
        <v>21280</v>
      </c>
      <c r="I165" s="134">
        <v>22330</v>
      </c>
      <c r="J165" s="134">
        <f>I165</f>
        <v>22330</v>
      </c>
    </row>
    <row r="166" spans="1:10" ht="31.5">
      <c r="A166" s="61" t="s">
        <v>322</v>
      </c>
      <c r="B166" s="34" t="s">
        <v>42</v>
      </c>
      <c r="C166" s="68" t="s">
        <v>136</v>
      </c>
      <c r="D166" s="490">
        <f>'[4]2011-2015'!J165</f>
        <v>15</v>
      </c>
      <c r="E166" s="75">
        <v>15.6</v>
      </c>
      <c r="F166" s="74">
        <v>16.2</v>
      </c>
      <c r="G166" s="74">
        <v>16.8</v>
      </c>
      <c r="H166" s="74">
        <v>17.4</v>
      </c>
      <c r="I166" s="492">
        <v>18</v>
      </c>
      <c r="J166" s="154">
        <f>I166</f>
        <v>18</v>
      </c>
    </row>
    <row r="167" spans="1:10" ht="15.75">
      <c r="A167" s="63">
        <v>2</v>
      </c>
      <c r="B167" s="55" t="s">
        <v>107</v>
      </c>
      <c r="C167" s="69"/>
      <c r="D167" s="491">
        <v>0</v>
      </c>
      <c r="E167" s="75"/>
      <c r="F167" s="74"/>
      <c r="G167" s="74"/>
      <c r="H167" s="74"/>
      <c r="I167" s="74"/>
      <c r="J167" s="74"/>
    </row>
    <row r="168" spans="1:10" ht="24.75" customHeight="1">
      <c r="A168" s="64" t="s">
        <v>129</v>
      </c>
      <c r="B168" s="34" t="s">
        <v>641</v>
      </c>
      <c r="C168" s="68" t="s">
        <v>141</v>
      </c>
      <c r="D168" s="491" t="e">
        <f>D169</f>
        <v>#REF!</v>
      </c>
      <c r="E168" s="75">
        <v>30</v>
      </c>
      <c r="F168" s="74">
        <v>32</v>
      </c>
      <c r="G168" s="74">
        <v>32</v>
      </c>
      <c r="H168" s="74">
        <v>32</v>
      </c>
      <c r="I168" s="74">
        <v>38</v>
      </c>
      <c r="J168" s="74">
        <f>SUM(E168:I168)</f>
        <v>164</v>
      </c>
    </row>
    <row r="169" spans="1:10" ht="15.75">
      <c r="A169" s="64"/>
      <c r="B169" s="34" t="s">
        <v>44</v>
      </c>
      <c r="C169" s="68" t="s">
        <v>141</v>
      </c>
      <c r="D169" s="491" t="e">
        <f>#REF!</f>
        <v>#REF!</v>
      </c>
      <c r="E169" s="75">
        <v>30</v>
      </c>
      <c r="F169" s="74">
        <v>32</v>
      </c>
      <c r="G169" s="74">
        <v>32</v>
      </c>
      <c r="H169" s="74">
        <v>32</v>
      </c>
      <c r="I169" s="74">
        <v>38</v>
      </c>
      <c r="J169" s="74">
        <f>SUM(E169:I169)</f>
        <v>164</v>
      </c>
    </row>
    <row r="170" spans="1:10" ht="31.5">
      <c r="A170" s="61" t="s">
        <v>130</v>
      </c>
      <c r="B170" s="40" t="s">
        <v>108</v>
      </c>
      <c r="C170" s="68" t="s">
        <v>141</v>
      </c>
      <c r="D170" s="491" t="e">
        <f>#REF!</f>
        <v>#REF!</v>
      </c>
      <c r="E170" s="75">
        <v>0</v>
      </c>
      <c r="F170" s="495">
        <v>0</v>
      </c>
      <c r="G170" s="495">
        <v>1</v>
      </c>
      <c r="H170" s="495">
        <v>1</v>
      </c>
      <c r="I170" s="495">
        <v>1</v>
      </c>
      <c r="J170" s="134">
        <f>E170+F170+G170+H170+I170</f>
        <v>3</v>
      </c>
    </row>
    <row r="171" spans="1:10" ht="15.75">
      <c r="A171" s="61" t="s">
        <v>131</v>
      </c>
      <c r="B171" s="40" t="s">
        <v>109</v>
      </c>
      <c r="C171" s="68" t="s">
        <v>141</v>
      </c>
      <c r="D171" s="491" t="e">
        <f>#REF!</f>
        <v>#REF!</v>
      </c>
      <c r="E171" s="75">
        <v>3</v>
      </c>
      <c r="F171" s="495">
        <v>3</v>
      </c>
      <c r="G171" s="495">
        <v>3</v>
      </c>
      <c r="H171" s="495">
        <v>3</v>
      </c>
      <c r="I171" s="495">
        <v>4</v>
      </c>
      <c r="J171" s="134">
        <f>E171+F171+G171+H171+I171</f>
        <v>16</v>
      </c>
    </row>
    <row r="172" spans="1:10" ht="15.75">
      <c r="A172" s="65" t="s">
        <v>132</v>
      </c>
      <c r="B172" s="56" t="s">
        <v>110</v>
      </c>
      <c r="C172" s="482" t="s">
        <v>162</v>
      </c>
      <c r="D172" s="524" t="e">
        <f>#REF!</f>
        <v>#REF!</v>
      </c>
      <c r="E172" s="558">
        <v>39</v>
      </c>
      <c r="F172" s="83">
        <v>40</v>
      </c>
      <c r="G172" s="83">
        <v>40</v>
      </c>
      <c r="H172" s="83">
        <v>40</v>
      </c>
      <c r="I172" s="83">
        <v>45</v>
      </c>
      <c r="J172" s="83">
        <f>E172+F172+G172+H172+I172</f>
        <v>204</v>
      </c>
    </row>
    <row r="173" spans="1:10" ht="15.75">
      <c r="A173" s="518"/>
      <c r="B173" s="543" t="s">
        <v>565</v>
      </c>
      <c r="C173" s="519" t="s">
        <v>297</v>
      </c>
      <c r="D173" s="524" t="e">
        <f>#REF!</f>
        <v>#REF!</v>
      </c>
      <c r="E173" s="566">
        <v>9</v>
      </c>
      <c r="F173" s="517">
        <v>10</v>
      </c>
      <c r="G173" s="517">
        <v>10</v>
      </c>
      <c r="H173" s="517">
        <v>10</v>
      </c>
      <c r="I173" s="517">
        <v>12</v>
      </c>
      <c r="J173" s="517">
        <f>E173+F173+G173+H173+I173</f>
        <v>51</v>
      </c>
    </row>
    <row r="174" spans="1:10" ht="15.75">
      <c r="A174" s="60" t="s">
        <v>113</v>
      </c>
      <c r="B174" s="48" t="s">
        <v>111</v>
      </c>
      <c r="C174" s="70"/>
      <c r="D174" s="491">
        <v>0</v>
      </c>
      <c r="E174" s="75"/>
      <c r="F174" s="74"/>
      <c r="G174" s="74"/>
      <c r="H174" s="74"/>
      <c r="I174" s="74"/>
      <c r="J174" s="74"/>
    </row>
    <row r="175" spans="1:22" s="9" customFormat="1" ht="42.75" customHeight="1">
      <c r="A175" s="73">
        <v>1</v>
      </c>
      <c r="B175" s="30" t="s">
        <v>49</v>
      </c>
      <c r="C175" s="68" t="s">
        <v>143</v>
      </c>
      <c r="D175" s="488" t="e">
        <f>#REF!</f>
        <v>#REF!</v>
      </c>
      <c r="E175" s="567">
        <v>450</v>
      </c>
      <c r="F175" s="495">
        <v>520</v>
      </c>
      <c r="G175" s="495">
        <v>600</v>
      </c>
      <c r="H175" s="495">
        <v>720</v>
      </c>
      <c r="I175" s="495">
        <v>870</v>
      </c>
      <c r="J175" s="76">
        <f>SUM(E175:I175)</f>
        <v>3160</v>
      </c>
      <c r="K175" s="8"/>
      <c r="M175" s="10"/>
      <c r="N175" s="8"/>
      <c r="P175" s="10"/>
      <c r="Q175" s="8"/>
      <c r="S175" s="10"/>
      <c r="T175" s="8"/>
      <c r="V175" s="10"/>
    </row>
    <row r="176" spans="1:22" ht="29.25" customHeight="1">
      <c r="A176" s="73"/>
      <c r="B176" s="30" t="s">
        <v>566</v>
      </c>
      <c r="C176" s="68" t="s">
        <v>143</v>
      </c>
      <c r="D176" s="488" t="e">
        <f>#REF!</f>
        <v>#REF!</v>
      </c>
      <c r="E176" s="574" t="s">
        <v>567</v>
      </c>
      <c r="F176" s="508">
        <v>85</v>
      </c>
      <c r="G176" s="508">
        <v>94</v>
      </c>
      <c r="H176" s="508">
        <v>110</v>
      </c>
      <c r="I176" s="508">
        <v>220</v>
      </c>
      <c r="J176" s="76">
        <f>SUM(E176:I176)</f>
        <v>509</v>
      </c>
      <c r="K176" s="11"/>
      <c r="M176" s="12"/>
      <c r="N176" s="11"/>
      <c r="P176" s="12"/>
      <c r="Q176" s="11"/>
      <c r="S176" s="12"/>
      <c r="T176" s="11"/>
      <c r="V176" s="12"/>
    </row>
    <row r="177" spans="1:22" s="14" customFormat="1" ht="26.25" customHeight="1">
      <c r="A177" s="73"/>
      <c r="B177" s="68" t="s">
        <v>568</v>
      </c>
      <c r="C177" s="68" t="s">
        <v>143</v>
      </c>
      <c r="D177" s="488" t="e">
        <f>#REF!</f>
        <v>#REF!</v>
      </c>
      <c r="E177" s="567">
        <v>373</v>
      </c>
      <c r="F177" s="508">
        <v>435</v>
      </c>
      <c r="G177" s="508">
        <v>506</v>
      </c>
      <c r="H177" s="508">
        <v>610</v>
      </c>
      <c r="I177" s="508">
        <v>650</v>
      </c>
      <c r="J177" s="76">
        <f>SUM(E177:I177)</f>
        <v>2574</v>
      </c>
      <c r="K177" s="13"/>
      <c r="M177" s="15"/>
      <c r="N177" s="13"/>
      <c r="P177" s="15"/>
      <c r="Q177" s="16"/>
      <c r="R177" s="17"/>
      <c r="S177" s="18"/>
      <c r="T177" s="16"/>
      <c r="U177" s="17"/>
      <c r="V177" s="15"/>
    </row>
    <row r="178" spans="1:10" s="14" customFormat="1" ht="29.25" customHeight="1">
      <c r="A178" s="73">
        <v>2</v>
      </c>
      <c r="B178" s="31" t="s">
        <v>569</v>
      </c>
      <c r="C178" s="68" t="s">
        <v>144</v>
      </c>
      <c r="D178" s="488" t="e">
        <f>#REF!</f>
        <v>#REF!</v>
      </c>
      <c r="E178" s="575">
        <v>700</v>
      </c>
      <c r="F178" s="508">
        <v>850</v>
      </c>
      <c r="G178" s="508">
        <v>1100</v>
      </c>
      <c r="H178" s="508">
        <v>1350</v>
      </c>
      <c r="I178" s="508">
        <v>1500</v>
      </c>
      <c r="J178" s="76">
        <f>SUM(E178:I178)</f>
        <v>5500</v>
      </c>
    </row>
    <row r="179" spans="1:10" s="14" customFormat="1" ht="28.5" customHeight="1">
      <c r="A179" s="73">
        <v>3</v>
      </c>
      <c r="B179" s="31" t="s">
        <v>570</v>
      </c>
      <c r="C179" s="68" t="s">
        <v>145</v>
      </c>
      <c r="D179" s="112" t="s">
        <v>571</v>
      </c>
      <c r="E179" s="555" t="s">
        <v>572</v>
      </c>
      <c r="F179" s="489" t="s">
        <v>573</v>
      </c>
      <c r="G179" s="489" t="s">
        <v>574</v>
      </c>
      <c r="H179" s="489" t="s">
        <v>575</v>
      </c>
      <c r="I179" s="508" t="s">
        <v>134</v>
      </c>
      <c r="J179" s="73">
        <v>3</v>
      </c>
    </row>
    <row r="180" spans="1:10" s="9" customFormat="1" ht="29.25" customHeight="1">
      <c r="A180" s="73">
        <v>4</v>
      </c>
      <c r="B180" s="31" t="s">
        <v>576</v>
      </c>
      <c r="C180" s="68" t="s">
        <v>145</v>
      </c>
      <c r="D180" s="112" t="s">
        <v>571</v>
      </c>
      <c r="E180" s="555" t="s">
        <v>572</v>
      </c>
      <c r="F180" s="489" t="s">
        <v>573</v>
      </c>
      <c r="G180" s="489" t="s">
        <v>574</v>
      </c>
      <c r="H180" s="489" t="s">
        <v>575</v>
      </c>
      <c r="I180" s="508" t="s">
        <v>134</v>
      </c>
      <c r="J180" s="73">
        <v>3</v>
      </c>
    </row>
    <row r="181" spans="1:10" ht="38.25" customHeight="1">
      <c r="A181" s="73">
        <v>5</v>
      </c>
      <c r="B181" s="31" t="s">
        <v>524</v>
      </c>
      <c r="C181" s="68" t="s">
        <v>149</v>
      </c>
      <c r="D181" s="509" t="s">
        <v>115</v>
      </c>
      <c r="E181" s="575" t="s">
        <v>116</v>
      </c>
      <c r="F181" s="508" t="s">
        <v>116</v>
      </c>
      <c r="G181" s="508" t="s">
        <v>117</v>
      </c>
      <c r="H181" s="508" t="s">
        <v>118</v>
      </c>
      <c r="I181" s="508" t="s">
        <v>562</v>
      </c>
      <c r="J181" s="73">
        <v>10</v>
      </c>
    </row>
    <row r="182" spans="1:10" s="14" customFormat="1" ht="27" customHeight="1">
      <c r="A182" s="80">
        <v>6</v>
      </c>
      <c r="B182" s="510" t="s">
        <v>577</v>
      </c>
      <c r="C182" s="103"/>
      <c r="D182" s="511"/>
      <c r="E182" s="576"/>
      <c r="F182" s="512"/>
      <c r="G182" s="512"/>
      <c r="H182" s="512"/>
      <c r="I182" s="512"/>
      <c r="J182" s="80"/>
    </row>
    <row r="183" spans="1:10" ht="31.5">
      <c r="A183" s="61" t="s">
        <v>311</v>
      </c>
      <c r="B183" s="485" t="s">
        <v>578</v>
      </c>
      <c r="C183" s="68" t="s">
        <v>579</v>
      </c>
      <c r="D183" s="68">
        <v>300</v>
      </c>
      <c r="E183" s="557">
        <v>70</v>
      </c>
      <c r="F183" s="73">
        <v>80</v>
      </c>
      <c r="G183" s="73">
        <v>90</v>
      </c>
      <c r="H183" s="73">
        <v>90</v>
      </c>
      <c r="I183" s="73">
        <v>100</v>
      </c>
      <c r="J183" s="73">
        <v>430</v>
      </c>
    </row>
    <row r="184" spans="1:10" ht="31.5">
      <c r="A184" s="61" t="s">
        <v>312</v>
      </c>
      <c r="B184" s="119" t="s">
        <v>639</v>
      </c>
      <c r="C184" s="68" t="s">
        <v>580</v>
      </c>
      <c r="D184" s="68">
        <v>2000</v>
      </c>
      <c r="E184" s="557">
        <v>800</v>
      </c>
      <c r="F184" s="73">
        <v>1000</v>
      </c>
      <c r="G184" s="73">
        <v>1500</v>
      </c>
      <c r="H184" s="73">
        <v>1600</v>
      </c>
      <c r="I184" s="73">
        <v>1500</v>
      </c>
      <c r="J184" s="73">
        <v>6400</v>
      </c>
    </row>
    <row r="185" spans="1:10" ht="31.5">
      <c r="A185" s="61" t="s">
        <v>313</v>
      </c>
      <c r="B185" s="31" t="s">
        <v>581</v>
      </c>
      <c r="C185" s="68" t="s">
        <v>227</v>
      </c>
      <c r="D185" s="483">
        <v>0</v>
      </c>
      <c r="E185" s="577">
        <v>1</v>
      </c>
      <c r="F185" s="484">
        <v>1</v>
      </c>
      <c r="G185" s="484">
        <v>1</v>
      </c>
      <c r="H185" s="484">
        <v>1</v>
      </c>
      <c r="I185" s="484">
        <v>1</v>
      </c>
      <c r="J185" s="73">
        <v>5</v>
      </c>
    </row>
    <row r="186" spans="1:10" ht="78.75">
      <c r="A186" s="65" t="s">
        <v>314</v>
      </c>
      <c r="B186" s="547" t="s">
        <v>638</v>
      </c>
      <c r="C186" s="82" t="s">
        <v>227</v>
      </c>
      <c r="D186" s="82">
        <v>3</v>
      </c>
      <c r="E186" s="568">
        <v>1</v>
      </c>
      <c r="F186" s="82">
        <v>1</v>
      </c>
      <c r="G186" s="82">
        <v>1</v>
      </c>
      <c r="H186" s="82">
        <v>1</v>
      </c>
      <c r="I186" s="82">
        <v>1</v>
      </c>
      <c r="J186" s="548">
        <v>5</v>
      </c>
    </row>
    <row r="187" spans="1:10" ht="15.75">
      <c r="A187" s="518" t="s">
        <v>582</v>
      </c>
      <c r="B187" s="525" t="s">
        <v>583</v>
      </c>
      <c r="C187" s="519" t="s">
        <v>584</v>
      </c>
      <c r="D187" s="545">
        <v>1</v>
      </c>
      <c r="E187" s="578">
        <v>0</v>
      </c>
      <c r="F187" s="546">
        <v>0</v>
      </c>
      <c r="G187" s="546">
        <v>1</v>
      </c>
      <c r="H187" s="546">
        <v>0</v>
      </c>
      <c r="I187" s="546">
        <v>1</v>
      </c>
      <c r="J187" s="520">
        <v>2</v>
      </c>
    </row>
    <row r="188" spans="1:10" ht="31.5">
      <c r="A188" s="61" t="s">
        <v>585</v>
      </c>
      <c r="B188" s="31" t="s">
        <v>586</v>
      </c>
      <c r="C188" s="68" t="s">
        <v>587</v>
      </c>
      <c r="D188" s="68">
        <v>1</v>
      </c>
      <c r="E188" s="557">
        <v>0</v>
      </c>
      <c r="F188" s="73">
        <v>1</v>
      </c>
      <c r="G188" s="73">
        <v>0</v>
      </c>
      <c r="H188" s="73">
        <v>0</v>
      </c>
      <c r="I188" s="73">
        <v>1</v>
      </c>
      <c r="J188" s="73">
        <v>2</v>
      </c>
    </row>
    <row r="189" spans="1:10" ht="31.5">
      <c r="A189" s="61" t="s">
        <v>588</v>
      </c>
      <c r="B189" s="513" t="s">
        <v>589</v>
      </c>
      <c r="C189" s="68" t="s">
        <v>590</v>
      </c>
      <c r="D189" s="483">
        <v>0</v>
      </c>
      <c r="E189" s="577">
        <v>0</v>
      </c>
      <c r="F189" s="484">
        <v>0</v>
      </c>
      <c r="G189" s="484">
        <v>1</v>
      </c>
      <c r="H189" s="484">
        <v>0</v>
      </c>
      <c r="I189" s="484">
        <v>0</v>
      </c>
      <c r="J189" s="484">
        <v>1</v>
      </c>
    </row>
    <row r="190" spans="1:10" ht="31.5">
      <c r="A190" s="61" t="s">
        <v>591</v>
      </c>
      <c r="B190" s="480" t="s">
        <v>592</v>
      </c>
      <c r="C190" s="68" t="s">
        <v>593</v>
      </c>
      <c r="D190" s="514">
        <v>0</v>
      </c>
      <c r="E190" s="579">
        <v>0</v>
      </c>
      <c r="F190" s="514">
        <v>1</v>
      </c>
      <c r="G190" s="514">
        <v>2</v>
      </c>
      <c r="H190" s="514">
        <v>1</v>
      </c>
      <c r="I190" s="514">
        <v>1</v>
      </c>
      <c r="J190" s="483">
        <v>5</v>
      </c>
    </row>
    <row r="191" spans="1:10" ht="31.5">
      <c r="A191" s="61" t="s">
        <v>594</v>
      </c>
      <c r="B191" s="480" t="s">
        <v>595</v>
      </c>
      <c r="C191" s="68" t="s">
        <v>596</v>
      </c>
      <c r="D191" s="514">
        <v>0</v>
      </c>
      <c r="E191" s="579">
        <v>0</v>
      </c>
      <c r="F191" s="514">
        <v>2</v>
      </c>
      <c r="G191" s="514">
        <v>2</v>
      </c>
      <c r="H191" s="514">
        <v>2</v>
      </c>
      <c r="I191" s="514">
        <v>2</v>
      </c>
      <c r="J191" s="483">
        <v>8</v>
      </c>
    </row>
    <row r="192" spans="1:10" ht="31.5">
      <c r="A192" s="61" t="s">
        <v>597</v>
      </c>
      <c r="B192" s="481" t="s">
        <v>598</v>
      </c>
      <c r="C192" s="68" t="s">
        <v>599</v>
      </c>
      <c r="D192" s="514">
        <v>12</v>
      </c>
      <c r="E192" s="579">
        <v>1</v>
      </c>
      <c r="F192" s="514">
        <v>4</v>
      </c>
      <c r="G192" s="514">
        <v>5</v>
      </c>
      <c r="H192" s="514">
        <v>4</v>
      </c>
      <c r="I192" s="514">
        <v>4</v>
      </c>
      <c r="J192" s="483">
        <v>18</v>
      </c>
    </row>
    <row r="193" spans="1:10" ht="15.75">
      <c r="A193" s="65"/>
      <c r="B193" s="515"/>
      <c r="C193" s="482"/>
      <c r="D193" s="482"/>
      <c r="E193" s="568"/>
      <c r="F193" s="82"/>
      <c r="G193" s="82"/>
      <c r="H193" s="82"/>
      <c r="I193" s="82"/>
      <c r="J193" s="82"/>
    </row>
  </sheetData>
  <sheetProtection/>
  <mergeCells count="2">
    <mergeCell ref="A1:J1"/>
    <mergeCell ref="A2:J2"/>
  </mergeCells>
  <printOptions/>
  <pageMargins left="0.4330708661417323" right="0.2755905511811024" top="0.7480314960629921" bottom="0.6299212598425197" header="0.3937007874015748"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274"/>
  <sheetViews>
    <sheetView zoomScalePageLayoutView="0" workbookViewId="0" topLeftCell="A13">
      <selection activeCell="D11" sqref="D11"/>
    </sheetView>
  </sheetViews>
  <sheetFormatPr defaultColWidth="9.140625" defaultRowHeight="12.75"/>
  <cols>
    <col min="1" max="1" width="5.8515625" style="19" customWidth="1"/>
    <col min="2" max="2" width="40.00390625" style="2" customWidth="1"/>
    <col min="3" max="3" width="14.421875" style="19" customWidth="1"/>
    <col min="4" max="4" width="13.140625" style="1" customWidth="1"/>
    <col min="5" max="5" width="13.421875" style="1" customWidth="1"/>
    <col min="6" max="6" width="13.00390625" style="1" customWidth="1"/>
    <col min="7" max="7" width="13.28125" style="19" customWidth="1"/>
    <col min="8" max="8" width="13.140625" style="1" customWidth="1"/>
    <col min="9" max="9" width="13.7109375" style="1" customWidth="1"/>
    <col min="10" max="10" width="9.140625" style="1" customWidth="1"/>
    <col min="11" max="16" width="12.7109375" style="1" customWidth="1"/>
    <col min="17" max="16384" width="9.140625" style="1" customWidth="1"/>
  </cols>
  <sheetData>
    <row r="1" spans="1:9" ht="24" customHeight="1">
      <c r="A1" s="831" t="s">
        <v>17</v>
      </c>
      <c r="B1" s="832"/>
      <c r="C1" s="832"/>
      <c r="D1" s="832"/>
      <c r="E1" s="832"/>
      <c r="F1" s="832"/>
      <c r="G1" s="832"/>
      <c r="H1" s="832"/>
      <c r="I1" s="832"/>
    </row>
    <row r="2" spans="1:9" ht="24" customHeight="1">
      <c r="A2" s="833" t="s">
        <v>306</v>
      </c>
      <c r="B2" s="833"/>
      <c r="C2" s="833"/>
      <c r="D2" s="833"/>
      <c r="E2" s="833"/>
      <c r="F2" s="833"/>
      <c r="G2" s="833"/>
      <c r="H2" s="833"/>
      <c r="I2" s="833"/>
    </row>
    <row r="3" spans="1:9" ht="16.5" customHeight="1">
      <c r="A3" s="4"/>
      <c r="B3" s="5"/>
      <c r="C3" s="4"/>
      <c r="D3" s="6"/>
      <c r="E3" s="6"/>
      <c r="F3" s="6"/>
      <c r="G3" s="4"/>
      <c r="H3" s="6" t="s">
        <v>16</v>
      </c>
      <c r="I3" s="20"/>
    </row>
    <row r="4" spans="1:9" s="7" customFormat="1" ht="54" customHeight="1">
      <c r="A4" s="21" t="s">
        <v>0</v>
      </c>
      <c r="B4" s="21" t="s">
        <v>14</v>
      </c>
      <c r="C4" s="22" t="s">
        <v>164</v>
      </c>
      <c r="D4" s="22" t="s">
        <v>3</v>
      </c>
      <c r="E4" s="22" t="s">
        <v>4</v>
      </c>
      <c r="F4" s="22" t="s">
        <v>5</v>
      </c>
      <c r="G4" s="22" t="s">
        <v>6</v>
      </c>
      <c r="H4" s="22" t="s">
        <v>7</v>
      </c>
      <c r="I4" s="22" t="s">
        <v>15</v>
      </c>
    </row>
    <row r="5" spans="1:17" s="9" customFormat="1" ht="19.5" customHeight="1">
      <c r="A5" s="101"/>
      <c r="B5" s="66" t="s">
        <v>11</v>
      </c>
      <c r="C5" s="102">
        <f aca="true" t="shared" si="0" ref="C5:I5">C7+C46+C67</f>
        <v>285108.3904</v>
      </c>
      <c r="D5" s="102">
        <f>D7+D46+D67</f>
        <v>376600</v>
      </c>
      <c r="E5" s="102">
        <f t="shared" si="0"/>
        <v>386949</v>
      </c>
      <c r="F5" s="102">
        <f t="shared" si="0"/>
        <v>508600</v>
      </c>
      <c r="G5" s="102">
        <f t="shared" si="0"/>
        <v>567600</v>
      </c>
      <c r="H5" s="102">
        <f t="shared" si="0"/>
        <v>468600</v>
      </c>
      <c r="I5" s="102">
        <f t="shared" si="0"/>
        <v>2308349</v>
      </c>
      <c r="K5" s="175">
        <f aca="true" t="shared" si="1" ref="K5:P5">D5-D44-D45</f>
        <v>349400</v>
      </c>
      <c r="L5" s="175">
        <f t="shared" si="1"/>
        <v>359749</v>
      </c>
      <c r="M5" s="175">
        <f t="shared" si="1"/>
        <v>481400</v>
      </c>
      <c r="N5" s="175">
        <f t="shared" si="1"/>
        <v>540400</v>
      </c>
      <c r="O5" s="175">
        <f t="shared" si="1"/>
        <v>441400</v>
      </c>
      <c r="P5" s="175">
        <f t="shared" si="1"/>
        <v>2172349</v>
      </c>
      <c r="Q5" s="175">
        <f>J5-J44+J45</f>
        <v>0</v>
      </c>
    </row>
    <row r="6" spans="1:9" s="14" customFormat="1" ht="19.5" customHeight="1">
      <c r="A6" s="80"/>
      <c r="B6" s="103" t="s">
        <v>18</v>
      </c>
      <c r="C6" s="104"/>
      <c r="D6" s="104"/>
      <c r="E6" s="104"/>
      <c r="F6" s="104"/>
      <c r="G6" s="105"/>
      <c r="H6" s="106"/>
      <c r="I6" s="107"/>
    </row>
    <row r="7" spans="1:11" s="9" customFormat="1" ht="19.5" customHeight="1">
      <c r="A7" s="79" t="s">
        <v>19</v>
      </c>
      <c r="B7" s="99" t="s">
        <v>270</v>
      </c>
      <c r="C7" s="108">
        <f aca="true" t="shared" si="2" ref="C7:I7">C8+C16+C20+C30+C37+C38+C43</f>
        <v>270085.3904</v>
      </c>
      <c r="D7" s="108">
        <f>D8+D16+D20+D30+D37+D38+D43</f>
        <v>244000</v>
      </c>
      <c r="E7" s="108">
        <f t="shared" si="2"/>
        <v>258149</v>
      </c>
      <c r="F7" s="108">
        <f t="shared" si="2"/>
        <v>361400</v>
      </c>
      <c r="G7" s="108">
        <f t="shared" si="2"/>
        <v>423400</v>
      </c>
      <c r="H7" s="108">
        <f t="shared" si="2"/>
        <v>295400</v>
      </c>
      <c r="I7" s="108">
        <f t="shared" si="2"/>
        <v>1582349</v>
      </c>
      <c r="K7" s="179">
        <f>I5-I67</f>
        <v>2119949</v>
      </c>
    </row>
    <row r="8" spans="1:9" s="94" customFormat="1" ht="19.5" customHeight="1">
      <c r="A8" s="109">
        <v>1</v>
      </c>
      <c r="B8" s="110" t="s">
        <v>194</v>
      </c>
      <c r="C8" s="111">
        <f aca="true" t="shared" si="3" ref="C8:I8">SUM(C9:C15)</f>
        <v>0</v>
      </c>
      <c r="D8" s="111">
        <f t="shared" si="3"/>
        <v>0</v>
      </c>
      <c r="E8" s="111">
        <f t="shared" si="3"/>
        <v>39000</v>
      </c>
      <c r="F8" s="111">
        <f t="shared" si="3"/>
        <v>112000</v>
      </c>
      <c r="G8" s="111">
        <f t="shared" si="3"/>
        <v>124000</v>
      </c>
      <c r="H8" s="111">
        <f t="shared" si="3"/>
        <v>70000</v>
      </c>
      <c r="I8" s="111">
        <f t="shared" si="3"/>
        <v>345000</v>
      </c>
    </row>
    <row r="9" spans="1:9" ht="31.5">
      <c r="A9" s="61" t="s">
        <v>319</v>
      </c>
      <c r="B9" s="31" t="s">
        <v>165</v>
      </c>
      <c r="C9" s="112">
        <v>0</v>
      </c>
      <c r="D9" s="113">
        <v>0</v>
      </c>
      <c r="E9" s="114">
        <v>5000</v>
      </c>
      <c r="F9" s="113">
        <v>20000</v>
      </c>
      <c r="G9" s="114">
        <v>25000</v>
      </c>
      <c r="H9" s="113"/>
      <c r="I9" s="115">
        <f>SUM(D9:H9)</f>
        <v>50000</v>
      </c>
    </row>
    <row r="10" spans="1:9" ht="31.5">
      <c r="A10" s="61" t="s">
        <v>320</v>
      </c>
      <c r="B10" s="31" t="s">
        <v>167</v>
      </c>
      <c r="C10" s="112">
        <v>0</v>
      </c>
      <c r="D10" s="113">
        <v>0</v>
      </c>
      <c r="E10" s="114"/>
      <c r="F10" s="114">
        <v>50000</v>
      </c>
      <c r="G10" s="114">
        <v>50000</v>
      </c>
      <c r="H10" s="113">
        <v>50000</v>
      </c>
      <c r="I10" s="116">
        <f aca="true" t="shared" si="4" ref="I10:I15">SUM(D10:H10)</f>
        <v>150000</v>
      </c>
    </row>
    <row r="11" spans="1:9" ht="31.5">
      <c r="A11" s="61" t="s">
        <v>321</v>
      </c>
      <c r="B11" s="30" t="s">
        <v>166</v>
      </c>
      <c r="C11" s="112">
        <v>0</v>
      </c>
      <c r="D11" s="113">
        <v>0</v>
      </c>
      <c r="E11" s="114">
        <v>14000</v>
      </c>
      <c r="F11" s="114">
        <v>15000</v>
      </c>
      <c r="G11" s="114">
        <v>15000</v>
      </c>
      <c r="H11" s="113">
        <v>16000</v>
      </c>
      <c r="I11" s="116">
        <f t="shared" si="4"/>
        <v>60000</v>
      </c>
    </row>
    <row r="12" spans="1:9" ht="39" customHeight="1">
      <c r="A12" s="61" t="s">
        <v>322</v>
      </c>
      <c r="B12" s="30" t="s">
        <v>168</v>
      </c>
      <c r="C12" s="112">
        <v>0</v>
      </c>
      <c r="D12" s="113">
        <v>0</v>
      </c>
      <c r="E12" s="114">
        <v>5000</v>
      </c>
      <c r="F12" s="114">
        <v>5000</v>
      </c>
      <c r="G12" s="114">
        <v>5000</v>
      </c>
      <c r="H12" s="113"/>
      <c r="I12" s="116">
        <f t="shared" si="4"/>
        <v>15000</v>
      </c>
    </row>
    <row r="13" spans="1:9" ht="45" customHeight="1">
      <c r="A13" s="61" t="s">
        <v>323</v>
      </c>
      <c r="B13" s="30" t="s">
        <v>169</v>
      </c>
      <c r="C13" s="112">
        <v>0</v>
      </c>
      <c r="D13" s="113">
        <v>0</v>
      </c>
      <c r="E13" s="114">
        <v>15000</v>
      </c>
      <c r="F13" s="114">
        <v>20000</v>
      </c>
      <c r="G13" s="114">
        <v>20000</v>
      </c>
      <c r="H13" s="113"/>
      <c r="I13" s="116">
        <f t="shared" si="4"/>
        <v>55000</v>
      </c>
    </row>
    <row r="14" spans="1:9" ht="31.5">
      <c r="A14" s="61" t="s">
        <v>324</v>
      </c>
      <c r="B14" s="30" t="s">
        <v>170</v>
      </c>
      <c r="C14" s="112">
        <v>0</v>
      </c>
      <c r="D14" s="113">
        <v>0</v>
      </c>
      <c r="E14" s="114"/>
      <c r="F14" s="114">
        <v>2000</v>
      </c>
      <c r="G14" s="114">
        <v>8000</v>
      </c>
      <c r="H14" s="113"/>
      <c r="I14" s="115">
        <f t="shared" si="4"/>
        <v>10000</v>
      </c>
    </row>
    <row r="15" spans="1:9" s="14" customFormat="1" ht="34.5" customHeight="1">
      <c r="A15" s="61" t="s">
        <v>325</v>
      </c>
      <c r="B15" s="30" t="s">
        <v>171</v>
      </c>
      <c r="C15" s="112">
        <v>0</v>
      </c>
      <c r="D15" s="113">
        <v>0</v>
      </c>
      <c r="E15" s="105"/>
      <c r="F15" s="107"/>
      <c r="G15" s="105">
        <v>1000</v>
      </c>
      <c r="H15" s="106">
        <v>4000</v>
      </c>
      <c r="I15" s="115">
        <f t="shared" si="4"/>
        <v>5000</v>
      </c>
    </row>
    <row r="16" spans="1:9" s="9" customFormat="1" ht="34.5" customHeight="1">
      <c r="A16" s="79">
        <v>2</v>
      </c>
      <c r="B16" s="136" t="s">
        <v>192</v>
      </c>
      <c r="C16" s="108">
        <f aca="true" t="shared" si="5" ref="C16:I16">SUM(C17:C19)</f>
        <v>0</v>
      </c>
      <c r="D16" s="108">
        <f t="shared" si="5"/>
        <v>600</v>
      </c>
      <c r="E16" s="108">
        <f t="shared" si="5"/>
        <v>8400</v>
      </c>
      <c r="F16" s="108">
        <f t="shared" si="5"/>
        <v>21000</v>
      </c>
      <c r="G16" s="108">
        <f t="shared" si="5"/>
        <v>49000</v>
      </c>
      <c r="H16" s="108">
        <f t="shared" si="5"/>
        <v>50000</v>
      </c>
      <c r="I16" s="108">
        <f t="shared" si="5"/>
        <v>129000</v>
      </c>
    </row>
    <row r="17" spans="1:9" ht="34.5" customHeight="1">
      <c r="A17" s="95" t="s">
        <v>129</v>
      </c>
      <c r="B17" s="30" t="s">
        <v>190</v>
      </c>
      <c r="C17" s="117">
        <v>0</v>
      </c>
      <c r="D17" s="113"/>
      <c r="E17" s="114">
        <v>3000</v>
      </c>
      <c r="F17" s="137">
        <f>30000*0.6</f>
        <v>18000</v>
      </c>
      <c r="G17" s="114">
        <f>15000*0.6</f>
        <v>9000</v>
      </c>
      <c r="H17" s="113"/>
      <c r="I17" s="115">
        <f>SUM(D17:H17)</f>
        <v>30000</v>
      </c>
    </row>
    <row r="18" spans="1:9" ht="34.5" customHeight="1">
      <c r="A18" s="95" t="s">
        <v>130</v>
      </c>
      <c r="B18" s="30" t="s">
        <v>191</v>
      </c>
      <c r="C18" s="117">
        <v>0</v>
      </c>
      <c r="D18" s="113">
        <v>600</v>
      </c>
      <c r="E18" s="114">
        <v>5400</v>
      </c>
      <c r="F18" s="137">
        <f>5000*0.6</f>
        <v>3000</v>
      </c>
      <c r="G18" s="114"/>
      <c r="H18" s="113"/>
      <c r="I18" s="115">
        <f>SUM(D18:H18)</f>
        <v>9000</v>
      </c>
    </row>
    <row r="19" spans="1:9" s="14" customFormat="1" ht="34.5" customHeight="1">
      <c r="A19" s="95" t="s">
        <v>131</v>
      </c>
      <c r="B19" s="119" t="s">
        <v>193</v>
      </c>
      <c r="C19" s="117">
        <v>0</v>
      </c>
      <c r="D19" s="120"/>
      <c r="E19" s="121"/>
      <c r="F19" s="107"/>
      <c r="G19" s="105">
        <v>40000</v>
      </c>
      <c r="H19" s="106">
        <v>50000</v>
      </c>
      <c r="I19" s="115">
        <f>SUM(D19:H19)</f>
        <v>90000</v>
      </c>
    </row>
    <row r="20" spans="1:9" s="94" customFormat="1" ht="34.5" customHeight="1">
      <c r="A20" s="109">
        <v>3</v>
      </c>
      <c r="B20" s="122" t="s">
        <v>250</v>
      </c>
      <c r="C20" s="123">
        <f aca="true" t="shared" si="6" ref="C20:I20">C21+C24</f>
        <v>226001.3</v>
      </c>
      <c r="D20" s="123">
        <f t="shared" si="6"/>
        <v>96000</v>
      </c>
      <c r="E20" s="123">
        <f t="shared" si="6"/>
        <v>53349</v>
      </c>
      <c r="F20" s="123">
        <f t="shared" si="6"/>
        <v>65000</v>
      </c>
      <c r="G20" s="123">
        <f t="shared" si="6"/>
        <v>95000</v>
      </c>
      <c r="H20" s="123">
        <f t="shared" si="6"/>
        <v>20000</v>
      </c>
      <c r="I20" s="123">
        <f t="shared" si="6"/>
        <v>329349</v>
      </c>
    </row>
    <row r="21" spans="1:9" s="94" customFormat="1" ht="24.75" customHeight="1">
      <c r="A21" s="109" t="s">
        <v>305</v>
      </c>
      <c r="B21" s="124" t="s">
        <v>258</v>
      </c>
      <c r="C21" s="125">
        <f aca="true" t="shared" si="7" ref="C21:H21">SUM(C22:C23)</f>
        <v>226001.3</v>
      </c>
      <c r="D21" s="125">
        <f t="shared" si="7"/>
        <v>71000</v>
      </c>
      <c r="E21" s="125">
        <f t="shared" si="7"/>
        <v>8349</v>
      </c>
      <c r="F21" s="125">
        <f t="shared" si="7"/>
        <v>0</v>
      </c>
      <c r="G21" s="125">
        <f t="shared" si="7"/>
        <v>0</v>
      </c>
      <c r="H21" s="125">
        <f t="shared" si="7"/>
        <v>0</v>
      </c>
      <c r="I21" s="115">
        <f>SUM(D21:H21)</f>
        <v>79349</v>
      </c>
    </row>
    <row r="22" spans="1:10" s="127" customFormat="1" ht="31.5">
      <c r="A22" s="95" t="s">
        <v>251</v>
      </c>
      <c r="B22" s="85" t="s">
        <v>243</v>
      </c>
      <c r="C22" s="91">
        <f>'[1]Sheet1'!$J$7</f>
        <v>14440.3</v>
      </c>
      <c r="D22" s="87">
        <v>8000</v>
      </c>
      <c r="E22" s="87">
        <v>8349</v>
      </c>
      <c r="F22" s="87"/>
      <c r="G22" s="126"/>
      <c r="H22" s="126"/>
      <c r="I22" s="115">
        <f>SUM(D22:H22)</f>
        <v>16349</v>
      </c>
      <c r="J22" s="149"/>
    </row>
    <row r="23" spans="1:10" s="127" customFormat="1" ht="30" customHeight="1">
      <c r="A23" s="95" t="s">
        <v>252</v>
      </c>
      <c r="B23" s="88" t="s">
        <v>244</v>
      </c>
      <c r="C23" s="90">
        <v>211561</v>
      </c>
      <c r="D23" s="91">
        <v>63000</v>
      </c>
      <c r="E23" s="86"/>
      <c r="F23" s="86"/>
      <c r="G23" s="126"/>
      <c r="H23" s="126"/>
      <c r="I23" s="115">
        <f>SUM(D23:H23)</f>
        <v>63000</v>
      </c>
      <c r="J23" s="149"/>
    </row>
    <row r="24" spans="1:10" s="128" customFormat="1" ht="20.25" customHeight="1">
      <c r="A24" s="96" t="s">
        <v>305</v>
      </c>
      <c r="B24" s="97" t="s">
        <v>259</v>
      </c>
      <c r="C24" s="98">
        <f aca="true" t="shared" si="8" ref="C24:I24">SUM(C25:C29)</f>
        <v>0</v>
      </c>
      <c r="D24" s="98">
        <f t="shared" si="8"/>
        <v>25000</v>
      </c>
      <c r="E24" s="98">
        <f t="shared" si="8"/>
        <v>45000</v>
      </c>
      <c r="F24" s="98">
        <f t="shared" si="8"/>
        <v>65000</v>
      </c>
      <c r="G24" s="98">
        <f t="shared" si="8"/>
        <v>95000</v>
      </c>
      <c r="H24" s="98">
        <f t="shared" si="8"/>
        <v>20000</v>
      </c>
      <c r="I24" s="98">
        <f t="shared" si="8"/>
        <v>250000</v>
      </c>
      <c r="J24" s="150"/>
    </row>
    <row r="25" spans="1:10" s="127" customFormat="1" ht="36.75" customHeight="1">
      <c r="A25" s="95" t="s">
        <v>253</v>
      </c>
      <c r="B25" s="92" t="s">
        <v>245</v>
      </c>
      <c r="C25" s="117">
        <v>0</v>
      </c>
      <c r="D25" s="89">
        <v>20000</v>
      </c>
      <c r="E25" s="93">
        <v>40000</v>
      </c>
      <c r="F25" s="93">
        <v>40000</v>
      </c>
      <c r="G25" s="126">
        <v>60000</v>
      </c>
      <c r="H25" s="126"/>
      <c r="I25" s="115">
        <f>SUM(D25:H25)</f>
        <v>160000</v>
      </c>
      <c r="J25" s="149"/>
    </row>
    <row r="26" spans="1:10" s="127" customFormat="1" ht="22.5" customHeight="1">
      <c r="A26" s="95" t="s">
        <v>254</v>
      </c>
      <c r="B26" s="92" t="s">
        <v>246</v>
      </c>
      <c r="C26" s="117">
        <v>0</v>
      </c>
      <c r="D26" s="126"/>
      <c r="E26" s="126"/>
      <c r="F26" s="126">
        <v>10000</v>
      </c>
      <c r="G26" s="115">
        <v>20000</v>
      </c>
      <c r="H26" s="115"/>
      <c r="I26" s="115">
        <f>SUM(D26:H26)</f>
        <v>30000</v>
      </c>
      <c r="J26" s="151"/>
    </row>
    <row r="27" spans="1:10" s="127" customFormat="1" ht="24" customHeight="1">
      <c r="A27" s="95" t="s">
        <v>255</v>
      </c>
      <c r="B27" s="92" t="s">
        <v>247</v>
      </c>
      <c r="C27" s="117">
        <v>0</v>
      </c>
      <c r="D27" s="126"/>
      <c r="E27" s="126"/>
      <c r="F27" s="126">
        <v>10000</v>
      </c>
      <c r="G27" s="115">
        <v>10000</v>
      </c>
      <c r="H27" s="115">
        <v>20000</v>
      </c>
      <c r="I27" s="115">
        <f>SUM(D27:H27)</f>
        <v>40000</v>
      </c>
      <c r="J27" s="151"/>
    </row>
    <row r="28" spans="1:10" s="127" customFormat="1" ht="21.75" customHeight="1">
      <c r="A28" s="95" t="s">
        <v>256</v>
      </c>
      <c r="B28" s="92" t="s">
        <v>248</v>
      </c>
      <c r="C28" s="117">
        <v>0</v>
      </c>
      <c r="D28" s="126">
        <v>5000</v>
      </c>
      <c r="E28" s="126"/>
      <c r="F28" s="126"/>
      <c r="G28" s="129"/>
      <c r="H28" s="129"/>
      <c r="I28" s="115">
        <f aca="true" t="shared" si="9" ref="I28:I60">SUM(D28:H28)</f>
        <v>5000</v>
      </c>
      <c r="J28" s="152"/>
    </row>
    <row r="29" spans="1:10" s="127" customFormat="1" ht="15.75">
      <c r="A29" s="95" t="s">
        <v>257</v>
      </c>
      <c r="B29" s="92" t="s">
        <v>249</v>
      </c>
      <c r="C29" s="117">
        <v>0</v>
      </c>
      <c r="D29" s="126"/>
      <c r="E29" s="126">
        <v>5000</v>
      </c>
      <c r="F29" s="126">
        <v>5000</v>
      </c>
      <c r="G29" s="126">
        <v>5000</v>
      </c>
      <c r="H29" s="126"/>
      <c r="I29" s="115">
        <f t="shared" si="9"/>
        <v>15000</v>
      </c>
      <c r="J29" s="152"/>
    </row>
    <row r="30" spans="1:10" s="128" customFormat="1" ht="15.75">
      <c r="A30" s="96" t="s">
        <v>135</v>
      </c>
      <c r="B30" s="142" t="s">
        <v>271</v>
      </c>
      <c r="C30" s="148">
        <f aca="true" t="shared" si="10" ref="C30:H30">SUM(C31:C36)</f>
        <v>0</v>
      </c>
      <c r="D30" s="148">
        <f t="shared" si="10"/>
        <v>32000</v>
      </c>
      <c r="E30" s="148">
        <f t="shared" si="10"/>
        <v>42000</v>
      </c>
      <c r="F30" s="148">
        <f t="shared" si="10"/>
        <v>48000</v>
      </c>
      <c r="G30" s="148">
        <f t="shared" si="10"/>
        <v>40000</v>
      </c>
      <c r="H30" s="148">
        <f t="shared" si="10"/>
        <v>40000</v>
      </c>
      <c r="I30" s="148">
        <f>SUM(I31:I36)</f>
        <v>202000</v>
      </c>
      <c r="J30" s="100"/>
    </row>
    <row r="31" spans="1:10" s="128" customFormat="1" ht="31.5">
      <c r="A31" s="95" t="s">
        <v>267</v>
      </c>
      <c r="B31" s="92" t="s">
        <v>298</v>
      </c>
      <c r="C31" s="117">
        <v>0</v>
      </c>
      <c r="D31" s="126">
        <v>20000</v>
      </c>
      <c r="E31" s="126">
        <v>20000</v>
      </c>
      <c r="F31" s="126">
        <v>20000</v>
      </c>
      <c r="G31" s="126">
        <v>20000</v>
      </c>
      <c r="H31" s="126">
        <v>20000</v>
      </c>
      <c r="I31" s="115">
        <f t="shared" si="9"/>
        <v>100000</v>
      </c>
      <c r="J31" s="100"/>
    </row>
    <row r="32" spans="1:10" s="128" customFormat="1" ht="31.5">
      <c r="A32" s="95" t="s">
        <v>287</v>
      </c>
      <c r="B32" s="92" t="s">
        <v>299</v>
      </c>
      <c r="C32" s="117">
        <v>0</v>
      </c>
      <c r="D32" s="126">
        <v>5000</v>
      </c>
      <c r="E32" s="126">
        <v>10000</v>
      </c>
      <c r="F32" s="126">
        <v>10000</v>
      </c>
      <c r="G32" s="126">
        <v>10000</v>
      </c>
      <c r="H32" s="126">
        <v>10000</v>
      </c>
      <c r="I32" s="115">
        <f t="shared" si="9"/>
        <v>45000</v>
      </c>
      <c r="J32" s="100"/>
    </row>
    <row r="33" spans="1:10" s="128" customFormat="1" ht="31.5">
      <c r="A33" s="95" t="s">
        <v>315</v>
      </c>
      <c r="B33" s="92" t="s">
        <v>300</v>
      </c>
      <c r="C33" s="117">
        <v>0</v>
      </c>
      <c r="D33" s="147"/>
      <c r="E33" s="147"/>
      <c r="F33" s="126">
        <v>10000</v>
      </c>
      <c r="G33" s="126">
        <v>10000</v>
      </c>
      <c r="H33" s="126">
        <v>10000</v>
      </c>
      <c r="I33" s="115">
        <f t="shared" si="9"/>
        <v>30000</v>
      </c>
      <c r="J33" s="100"/>
    </row>
    <row r="34" spans="1:10" s="127" customFormat="1" ht="31.5">
      <c r="A34" s="95" t="s">
        <v>316</v>
      </c>
      <c r="B34" s="92" t="s">
        <v>301</v>
      </c>
      <c r="C34" s="117">
        <v>0</v>
      </c>
      <c r="D34" s="126">
        <v>5000</v>
      </c>
      <c r="E34" s="126">
        <v>5000</v>
      </c>
      <c r="F34" s="126">
        <v>5000</v>
      </c>
      <c r="G34" s="126"/>
      <c r="H34" s="126"/>
      <c r="I34" s="115">
        <f t="shared" si="9"/>
        <v>15000</v>
      </c>
      <c r="J34" s="130"/>
    </row>
    <row r="35" spans="1:10" s="127" customFormat="1" ht="15.75">
      <c r="A35" s="95" t="s">
        <v>317</v>
      </c>
      <c r="B35" s="92" t="s">
        <v>302</v>
      </c>
      <c r="C35" s="117">
        <v>0</v>
      </c>
      <c r="D35" s="126">
        <v>1000</v>
      </c>
      <c r="E35" s="126">
        <v>3000</v>
      </c>
      <c r="F35" s="126">
        <v>3000</v>
      </c>
      <c r="G35" s="126"/>
      <c r="H35" s="126"/>
      <c r="I35" s="115">
        <f t="shared" si="9"/>
        <v>7000</v>
      </c>
      <c r="J35" s="130"/>
    </row>
    <row r="36" spans="1:10" s="127" customFormat="1" ht="15.75">
      <c r="A36" s="95" t="s">
        <v>318</v>
      </c>
      <c r="B36" s="92" t="s">
        <v>303</v>
      </c>
      <c r="C36" s="117">
        <v>0</v>
      </c>
      <c r="D36" s="126">
        <v>1000</v>
      </c>
      <c r="E36" s="126">
        <v>4000</v>
      </c>
      <c r="F36" s="126"/>
      <c r="G36" s="126"/>
      <c r="H36" s="126"/>
      <c r="I36" s="115">
        <f t="shared" si="9"/>
        <v>5000</v>
      </c>
      <c r="J36" s="130"/>
    </row>
    <row r="37" spans="1:10" s="140" customFormat="1" ht="63">
      <c r="A37" s="138" t="s">
        <v>115</v>
      </c>
      <c r="B37" s="142" t="s">
        <v>272</v>
      </c>
      <c r="C37" s="131">
        <v>32484.0904</v>
      </c>
      <c r="D37" s="132">
        <v>5000</v>
      </c>
      <c r="E37" s="132">
        <v>5000</v>
      </c>
      <c r="F37" s="132">
        <v>5000</v>
      </c>
      <c r="G37" s="132">
        <v>5000</v>
      </c>
      <c r="H37" s="132">
        <v>5000</v>
      </c>
      <c r="I37" s="132">
        <f t="shared" si="9"/>
        <v>25000</v>
      </c>
      <c r="J37" s="139"/>
    </row>
    <row r="38" spans="1:10" s="127" customFormat="1" ht="63">
      <c r="A38" s="138" t="s">
        <v>116</v>
      </c>
      <c r="B38" s="99" t="s">
        <v>261</v>
      </c>
      <c r="C38" s="131">
        <f aca="true" t="shared" si="11" ref="C38:I38">SUM(C39:C43)</f>
        <v>5800</v>
      </c>
      <c r="D38" s="132">
        <f t="shared" si="11"/>
        <v>83200</v>
      </c>
      <c r="E38" s="132">
        <f t="shared" si="11"/>
        <v>83200</v>
      </c>
      <c r="F38" s="132">
        <f t="shared" si="11"/>
        <v>83200</v>
      </c>
      <c r="G38" s="132">
        <f t="shared" si="11"/>
        <v>83200</v>
      </c>
      <c r="H38" s="132">
        <f t="shared" si="11"/>
        <v>83200</v>
      </c>
      <c r="I38" s="132">
        <f t="shared" si="11"/>
        <v>416000</v>
      </c>
      <c r="J38" s="130"/>
    </row>
    <row r="39" spans="1:10" s="127" customFormat="1" ht="63">
      <c r="A39" s="95" t="s">
        <v>311</v>
      </c>
      <c r="B39" s="31" t="s">
        <v>262</v>
      </c>
      <c r="C39" s="133"/>
      <c r="D39" s="134">
        <v>12000</v>
      </c>
      <c r="E39" s="134">
        <v>12000</v>
      </c>
      <c r="F39" s="134">
        <v>12000</v>
      </c>
      <c r="G39" s="76">
        <v>12000</v>
      </c>
      <c r="H39" s="134">
        <v>12000</v>
      </c>
      <c r="I39" s="134">
        <f>SUM(D39:H39)</f>
        <v>60000</v>
      </c>
      <c r="J39" s="130"/>
    </row>
    <row r="40" spans="1:10" s="127" customFormat="1" ht="31.5">
      <c r="A40" s="95" t="s">
        <v>312</v>
      </c>
      <c r="B40" s="31" t="s">
        <v>263</v>
      </c>
      <c r="C40" s="117">
        <v>0</v>
      </c>
      <c r="D40" s="134">
        <v>12000</v>
      </c>
      <c r="E40" s="134">
        <v>12000</v>
      </c>
      <c r="F40" s="134">
        <v>12000</v>
      </c>
      <c r="G40" s="134">
        <v>12000</v>
      </c>
      <c r="H40" s="134">
        <v>12000</v>
      </c>
      <c r="I40" s="134">
        <f>SUM(D40:H40)</f>
        <v>60000</v>
      </c>
      <c r="J40" s="130"/>
    </row>
    <row r="41" spans="1:10" s="127" customFormat="1" ht="15.75">
      <c r="A41" s="95" t="s">
        <v>313</v>
      </c>
      <c r="B41" s="31" t="s">
        <v>264</v>
      </c>
      <c r="C41" s="117">
        <v>0</v>
      </c>
      <c r="D41" s="134">
        <v>12000</v>
      </c>
      <c r="E41" s="134">
        <v>12000</v>
      </c>
      <c r="F41" s="134">
        <v>12000</v>
      </c>
      <c r="G41" s="134">
        <v>12000</v>
      </c>
      <c r="H41" s="134">
        <v>12000</v>
      </c>
      <c r="I41" s="134">
        <f>SUM(D41:H41)</f>
        <v>60000</v>
      </c>
      <c r="J41" s="130"/>
    </row>
    <row r="42" spans="1:10" s="127" customFormat="1" ht="31.5">
      <c r="A42" s="95" t="s">
        <v>314</v>
      </c>
      <c r="B42" s="31" t="s">
        <v>265</v>
      </c>
      <c r="C42" s="117">
        <v>0</v>
      </c>
      <c r="D42" s="134">
        <v>20000</v>
      </c>
      <c r="E42" s="134">
        <v>20000</v>
      </c>
      <c r="F42" s="134">
        <v>20000</v>
      </c>
      <c r="G42" s="134">
        <v>20000</v>
      </c>
      <c r="H42" s="134">
        <v>20000</v>
      </c>
      <c r="I42" s="134">
        <f>SUM(D42:H42)</f>
        <v>100000</v>
      </c>
      <c r="J42" s="130"/>
    </row>
    <row r="43" spans="1:10" s="127" customFormat="1" ht="31.5">
      <c r="A43" s="95" t="s">
        <v>117</v>
      </c>
      <c r="B43" s="136" t="s">
        <v>260</v>
      </c>
      <c r="C43" s="132">
        <f aca="true" t="shared" si="12" ref="C43:I43">SUM(C44:C45)</f>
        <v>5800</v>
      </c>
      <c r="D43" s="132">
        <f t="shared" si="12"/>
        <v>27200</v>
      </c>
      <c r="E43" s="132">
        <f t="shared" si="12"/>
        <v>27200</v>
      </c>
      <c r="F43" s="132">
        <f t="shared" si="12"/>
        <v>27200</v>
      </c>
      <c r="G43" s="132">
        <f t="shared" si="12"/>
        <v>27200</v>
      </c>
      <c r="H43" s="132">
        <f t="shared" si="12"/>
        <v>27200</v>
      </c>
      <c r="I43" s="132">
        <f t="shared" si="12"/>
        <v>136000</v>
      </c>
      <c r="J43" s="130"/>
    </row>
    <row r="44" spans="1:9" s="14" customFormat="1" ht="30.75" customHeight="1">
      <c r="A44" s="80"/>
      <c r="B44" s="31" t="s">
        <v>274</v>
      </c>
      <c r="C44" s="118">
        <v>3300</v>
      </c>
      <c r="D44" s="106">
        <v>11000</v>
      </c>
      <c r="E44" s="105">
        <v>11000</v>
      </c>
      <c r="F44" s="107">
        <v>11000</v>
      </c>
      <c r="G44" s="105">
        <v>11000</v>
      </c>
      <c r="H44" s="106">
        <v>11000</v>
      </c>
      <c r="I44" s="135">
        <f>SUM(D44:H44)</f>
        <v>55000</v>
      </c>
    </row>
    <row r="45" spans="1:9" ht="27.75" customHeight="1">
      <c r="A45" s="73"/>
      <c r="B45" s="31" t="s">
        <v>276</v>
      </c>
      <c r="C45" s="118">
        <v>2500</v>
      </c>
      <c r="D45" s="118">
        <f>81000/5</f>
        <v>16200</v>
      </c>
      <c r="E45" s="118">
        <f>81000/5</f>
        <v>16200</v>
      </c>
      <c r="F45" s="118">
        <f>81000/5</f>
        <v>16200</v>
      </c>
      <c r="G45" s="118">
        <f>81000/5</f>
        <v>16200</v>
      </c>
      <c r="H45" s="118">
        <f>81000/5</f>
        <v>16200</v>
      </c>
      <c r="I45" s="135">
        <f>SUM(D45:H45)</f>
        <v>81000</v>
      </c>
    </row>
    <row r="46" spans="1:9" s="9" customFormat="1" ht="19.5" customHeight="1">
      <c r="A46" s="79" t="s">
        <v>20</v>
      </c>
      <c r="B46" s="136" t="s">
        <v>172</v>
      </c>
      <c r="C46" s="108">
        <f aca="true" t="shared" si="13" ref="C46:I46">C47+C50+C54+C61+C64+C65</f>
        <v>15023</v>
      </c>
      <c r="D46" s="108">
        <f t="shared" si="13"/>
        <v>99480</v>
      </c>
      <c r="E46" s="108">
        <f t="shared" si="13"/>
        <v>90730</v>
      </c>
      <c r="F46" s="108">
        <f t="shared" si="13"/>
        <v>108130</v>
      </c>
      <c r="G46" s="108">
        <f t="shared" si="13"/>
        <v>105130</v>
      </c>
      <c r="H46" s="108">
        <f t="shared" si="13"/>
        <v>134130</v>
      </c>
      <c r="I46" s="108">
        <f t="shared" si="13"/>
        <v>537600</v>
      </c>
    </row>
    <row r="47" spans="1:9" s="94" customFormat="1" ht="19.5" customHeight="1">
      <c r="A47" s="109">
        <v>1</v>
      </c>
      <c r="B47" s="110" t="s">
        <v>194</v>
      </c>
      <c r="C47" s="111">
        <f aca="true" t="shared" si="14" ref="C47:I47">SUM(C48:C49)</f>
        <v>0</v>
      </c>
      <c r="D47" s="111">
        <f t="shared" si="14"/>
        <v>25000</v>
      </c>
      <c r="E47" s="111">
        <f t="shared" si="14"/>
        <v>24500</v>
      </c>
      <c r="F47" s="111">
        <f t="shared" si="14"/>
        <v>24500</v>
      </c>
      <c r="G47" s="111">
        <f t="shared" si="14"/>
        <v>24500</v>
      </c>
      <c r="H47" s="111">
        <f t="shared" si="14"/>
        <v>24500</v>
      </c>
      <c r="I47" s="111">
        <f t="shared" si="14"/>
        <v>123000</v>
      </c>
    </row>
    <row r="48" spans="1:9" ht="35.25" customHeight="1">
      <c r="A48" s="73"/>
      <c r="B48" s="30" t="s">
        <v>268</v>
      </c>
      <c r="C48" s="117">
        <v>0</v>
      </c>
      <c r="D48" s="113">
        <v>16000</v>
      </c>
      <c r="E48" s="114">
        <v>15500</v>
      </c>
      <c r="F48" s="137">
        <v>15500</v>
      </c>
      <c r="G48" s="114">
        <v>15500</v>
      </c>
      <c r="H48" s="113">
        <v>15500</v>
      </c>
      <c r="I48" s="115">
        <f t="shared" si="9"/>
        <v>78000</v>
      </c>
    </row>
    <row r="49" spans="1:9" s="14" customFormat="1" ht="35.25" customHeight="1">
      <c r="A49" s="73"/>
      <c r="B49" s="30" t="s">
        <v>269</v>
      </c>
      <c r="C49" s="118">
        <v>0</v>
      </c>
      <c r="D49" s="106">
        <v>9000</v>
      </c>
      <c r="E49" s="105">
        <v>9000</v>
      </c>
      <c r="F49" s="107">
        <v>9000</v>
      </c>
      <c r="G49" s="105">
        <v>9000</v>
      </c>
      <c r="H49" s="106">
        <v>9000</v>
      </c>
      <c r="I49" s="115">
        <f t="shared" si="9"/>
        <v>45000</v>
      </c>
    </row>
    <row r="50" spans="1:9" s="94" customFormat="1" ht="19.5" customHeight="1">
      <c r="A50" s="109">
        <v>2</v>
      </c>
      <c r="B50" s="110" t="s">
        <v>192</v>
      </c>
      <c r="C50" s="111">
        <f aca="true" t="shared" si="15" ref="C50:I50">SUM(C51:C53)</f>
        <v>0</v>
      </c>
      <c r="D50" s="111">
        <f t="shared" si="15"/>
        <v>400</v>
      </c>
      <c r="E50" s="111">
        <f t="shared" si="15"/>
        <v>5600</v>
      </c>
      <c r="F50" s="111">
        <f t="shared" si="15"/>
        <v>14000</v>
      </c>
      <c r="G50" s="111">
        <f t="shared" si="15"/>
        <v>26000</v>
      </c>
      <c r="H50" s="111">
        <f t="shared" si="15"/>
        <v>40000</v>
      </c>
      <c r="I50" s="111">
        <f t="shared" si="15"/>
        <v>86000</v>
      </c>
    </row>
    <row r="51" spans="1:9" ht="30" customHeight="1">
      <c r="A51" s="73"/>
      <c r="B51" s="119" t="s">
        <v>193</v>
      </c>
      <c r="C51" s="117">
        <v>0</v>
      </c>
      <c r="D51" s="120"/>
      <c r="E51" s="121"/>
      <c r="F51" s="107"/>
      <c r="G51" s="105">
        <v>20000</v>
      </c>
      <c r="H51" s="106">
        <v>40000</v>
      </c>
      <c r="I51" s="115">
        <f t="shared" si="9"/>
        <v>60000</v>
      </c>
    </row>
    <row r="52" spans="1:9" ht="19.5" customHeight="1">
      <c r="A52" s="73"/>
      <c r="B52" s="30" t="s">
        <v>190</v>
      </c>
      <c r="C52" s="117">
        <v>0</v>
      </c>
      <c r="D52" s="113"/>
      <c r="E52" s="114">
        <v>2000</v>
      </c>
      <c r="F52" s="137">
        <f>30000*0.4</f>
        <v>12000</v>
      </c>
      <c r="G52" s="114"/>
      <c r="H52" s="113"/>
      <c r="I52" s="115">
        <f t="shared" si="9"/>
        <v>14000</v>
      </c>
    </row>
    <row r="53" spans="1:9" s="9" customFormat="1" ht="37.5" customHeight="1">
      <c r="A53" s="79"/>
      <c r="B53" s="30" t="s">
        <v>191</v>
      </c>
      <c r="C53" s="117">
        <v>0</v>
      </c>
      <c r="D53" s="113">
        <v>400</v>
      </c>
      <c r="E53" s="114">
        <v>3600</v>
      </c>
      <c r="F53" s="137">
        <f>5000*0.4</f>
        <v>2000</v>
      </c>
      <c r="G53" s="114">
        <v>6000</v>
      </c>
      <c r="H53" s="108"/>
      <c r="I53" s="115">
        <f t="shared" si="9"/>
        <v>12000</v>
      </c>
    </row>
    <row r="54" spans="1:9" s="94" customFormat="1" ht="41.25" customHeight="1">
      <c r="A54" s="109">
        <v>3</v>
      </c>
      <c r="B54" s="110" t="s">
        <v>260</v>
      </c>
      <c r="C54" s="111">
        <f aca="true" t="shared" si="16" ref="C54:I54">SUM(C55:C60)</f>
        <v>11223</v>
      </c>
      <c r="D54" s="111">
        <f t="shared" si="16"/>
        <v>56080</v>
      </c>
      <c r="E54" s="111">
        <f t="shared" si="16"/>
        <v>40630</v>
      </c>
      <c r="F54" s="111">
        <f t="shared" si="16"/>
        <v>55630</v>
      </c>
      <c r="G54" s="111">
        <f t="shared" si="16"/>
        <v>40630</v>
      </c>
      <c r="H54" s="111">
        <f t="shared" si="16"/>
        <v>55630</v>
      </c>
      <c r="I54" s="111">
        <f t="shared" si="16"/>
        <v>248600</v>
      </c>
    </row>
    <row r="55" spans="1:9" s="14" customFormat="1" ht="41.25" customHeight="1">
      <c r="A55" s="80"/>
      <c r="B55" s="31" t="s">
        <v>275</v>
      </c>
      <c r="C55" s="118"/>
      <c r="D55" s="106">
        <v>15000</v>
      </c>
      <c r="E55" s="105"/>
      <c r="F55" s="107">
        <v>15000</v>
      </c>
      <c r="G55" s="105"/>
      <c r="H55" s="106">
        <v>15000</v>
      </c>
      <c r="I55" s="115">
        <f>SUM(D55:H55)</f>
        <v>45000</v>
      </c>
    </row>
    <row r="56" spans="1:9" s="14" customFormat="1" ht="41.25" customHeight="1">
      <c r="A56" s="80"/>
      <c r="B56" s="31" t="s">
        <v>274</v>
      </c>
      <c r="C56" s="118">
        <v>10423</v>
      </c>
      <c r="D56" s="106">
        <v>2200</v>
      </c>
      <c r="E56" s="105">
        <v>2200</v>
      </c>
      <c r="F56" s="107">
        <v>2200</v>
      </c>
      <c r="G56" s="105">
        <v>2200</v>
      </c>
      <c r="H56" s="106">
        <v>2200</v>
      </c>
      <c r="I56" s="115">
        <f t="shared" si="9"/>
        <v>11000</v>
      </c>
    </row>
    <row r="57" spans="1:9" ht="39" customHeight="1">
      <c r="A57" s="73"/>
      <c r="B57" s="31" t="s">
        <v>276</v>
      </c>
      <c r="C57" s="31">
        <v>800</v>
      </c>
      <c r="D57" s="31">
        <f>32400/5</f>
        <v>6480</v>
      </c>
      <c r="E57" s="31">
        <f>32400/5</f>
        <v>6480</v>
      </c>
      <c r="F57" s="31">
        <f>32400/5</f>
        <v>6480</v>
      </c>
      <c r="G57" s="31">
        <f>32400/5</f>
        <v>6480</v>
      </c>
      <c r="H57" s="31">
        <f>32400/5</f>
        <v>6480</v>
      </c>
      <c r="I57" s="115">
        <f t="shared" si="9"/>
        <v>32400</v>
      </c>
    </row>
    <row r="58" spans="1:9" ht="39" customHeight="1">
      <c r="A58" s="73"/>
      <c r="B58" s="30" t="s">
        <v>173</v>
      </c>
      <c r="C58" s="117">
        <v>0</v>
      </c>
      <c r="D58" s="113">
        <v>9000</v>
      </c>
      <c r="E58" s="114">
        <v>9000</v>
      </c>
      <c r="F58" s="137">
        <v>9000</v>
      </c>
      <c r="G58" s="137">
        <v>9000</v>
      </c>
      <c r="H58" s="137">
        <v>9000</v>
      </c>
      <c r="I58" s="135">
        <f t="shared" si="9"/>
        <v>45000</v>
      </c>
    </row>
    <row r="59" spans="1:9" ht="39" customHeight="1">
      <c r="A59" s="73"/>
      <c r="B59" s="30" t="s">
        <v>174</v>
      </c>
      <c r="C59" s="117">
        <v>0</v>
      </c>
      <c r="D59" s="113">
        <v>9000</v>
      </c>
      <c r="E59" s="114">
        <v>9000</v>
      </c>
      <c r="F59" s="137">
        <v>9000</v>
      </c>
      <c r="G59" s="137">
        <v>9000</v>
      </c>
      <c r="H59" s="137">
        <v>9000</v>
      </c>
      <c r="I59" s="135">
        <f t="shared" si="9"/>
        <v>45000</v>
      </c>
    </row>
    <row r="60" spans="1:9" ht="39" customHeight="1">
      <c r="A60" s="73"/>
      <c r="B60" s="30" t="s">
        <v>277</v>
      </c>
      <c r="C60" s="117">
        <v>0</v>
      </c>
      <c r="D60" s="113">
        <f>16000*0.9</f>
        <v>14400</v>
      </c>
      <c r="E60" s="114">
        <f>15500*0.9</f>
        <v>13950</v>
      </c>
      <c r="F60" s="137">
        <f>15500*0.9</f>
        <v>13950</v>
      </c>
      <c r="G60" s="114">
        <f>15500*0.9</f>
        <v>13950</v>
      </c>
      <c r="H60" s="113">
        <f>15500*0.9</f>
        <v>13950</v>
      </c>
      <c r="I60" s="135">
        <f t="shared" si="9"/>
        <v>70200</v>
      </c>
    </row>
    <row r="61" spans="1:9" s="9" customFormat="1" ht="63">
      <c r="A61" s="79">
        <v>4</v>
      </c>
      <c r="B61" s="99" t="s">
        <v>261</v>
      </c>
      <c r="C61" s="24">
        <f aca="true" t="shared" si="17" ref="C61:I61">SUM(C62:C63)</f>
        <v>3800</v>
      </c>
      <c r="D61" s="24">
        <f t="shared" si="17"/>
        <v>7000</v>
      </c>
      <c r="E61" s="24">
        <f t="shared" si="17"/>
        <v>9000</v>
      </c>
      <c r="F61" s="24">
        <f t="shared" si="17"/>
        <v>3000</v>
      </c>
      <c r="G61" s="24">
        <f t="shared" si="17"/>
        <v>3000</v>
      </c>
      <c r="H61" s="24">
        <f t="shared" si="17"/>
        <v>3000</v>
      </c>
      <c r="I61" s="24">
        <f t="shared" si="17"/>
        <v>25000</v>
      </c>
    </row>
    <row r="62" spans="1:9" ht="63">
      <c r="A62" s="61" t="s">
        <v>267</v>
      </c>
      <c r="B62" s="31" t="s">
        <v>262</v>
      </c>
      <c r="C62" s="141">
        <v>3800</v>
      </c>
      <c r="D62" s="134">
        <v>3000</v>
      </c>
      <c r="E62" s="134">
        <v>3000</v>
      </c>
      <c r="F62" s="134">
        <v>3000</v>
      </c>
      <c r="G62" s="134">
        <v>3000</v>
      </c>
      <c r="H62" s="134">
        <v>3000</v>
      </c>
      <c r="I62" s="134">
        <f>SUM(D62:H62)</f>
        <v>15000</v>
      </c>
    </row>
    <row r="63" spans="1:9" ht="15.75">
      <c r="A63" s="61" t="s">
        <v>287</v>
      </c>
      <c r="B63" s="31" t="s">
        <v>266</v>
      </c>
      <c r="C63" s="117">
        <v>0</v>
      </c>
      <c r="D63" s="74">
        <v>4000</v>
      </c>
      <c r="E63" s="74">
        <v>6000</v>
      </c>
      <c r="F63" s="74"/>
      <c r="G63" s="73"/>
      <c r="H63" s="74"/>
      <c r="I63" s="134">
        <f>SUM(D63:H63)</f>
        <v>10000</v>
      </c>
    </row>
    <row r="64" spans="1:9" s="9" customFormat="1" ht="36.75" customHeight="1">
      <c r="A64" s="63">
        <v>5</v>
      </c>
      <c r="B64" s="99" t="s">
        <v>273</v>
      </c>
      <c r="C64" s="117">
        <v>0</v>
      </c>
      <c r="D64" s="25">
        <v>5000</v>
      </c>
      <c r="E64" s="25">
        <v>5000</v>
      </c>
      <c r="F64" s="25">
        <v>5000</v>
      </c>
      <c r="G64" s="79">
        <v>5000</v>
      </c>
      <c r="H64" s="25">
        <v>5000</v>
      </c>
      <c r="I64" s="132">
        <f>SUM(D64:H64)</f>
        <v>25000</v>
      </c>
    </row>
    <row r="65" spans="1:9" ht="15.75">
      <c r="A65" s="73">
        <v>6</v>
      </c>
      <c r="B65" s="142" t="s">
        <v>271</v>
      </c>
      <c r="C65" s="134">
        <f>SUM(C66:C71)</f>
        <v>0</v>
      </c>
      <c r="D65" s="134">
        <f aca="true" t="shared" si="18" ref="D65:I65">SUM(D66)</f>
        <v>6000</v>
      </c>
      <c r="E65" s="134">
        <f t="shared" si="18"/>
        <v>6000</v>
      </c>
      <c r="F65" s="134">
        <f t="shared" si="18"/>
        <v>6000</v>
      </c>
      <c r="G65" s="134">
        <f t="shared" si="18"/>
        <v>6000</v>
      </c>
      <c r="H65" s="134">
        <f t="shared" si="18"/>
        <v>6000</v>
      </c>
      <c r="I65" s="134">
        <f t="shared" si="18"/>
        <v>30000</v>
      </c>
    </row>
    <row r="66" spans="1:10" ht="31.5">
      <c r="A66" s="73">
        <v>1</v>
      </c>
      <c r="B66" s="92" t="s">
        <v>298</v>
      </c>
      <c r="C66" s="73"/>
      <c r="D66" s="74">
        <v>6000</v>
      </c>
      <c r="E66" s="74">
        <v>6000</v>
      </c>
      <c r="F66" s="74">
        <v>6000</v>
      </c>
      <c r="G66" s="73">
        <v>6000</v>
      </c>
      <c r="H66" s="74">
        <v>6000</v>
      </c>
      <c r="I66" s="134">
        <f aca="true" t="shared" si="19" ref="I66:I75">SUM(D66:H66)</f>
        <v>30000</v>
      </c>
      <c r="J66" s="146"/>
    </row>
    <row r="67" spans="1:9" s="9" customFormat="1" ht="15.75">
      <c r="A67" s="79" t="s">
        <v>113</v>
      </c>
      <c r="B67" s="142" t="s">
        <v>304</v>
      </c>
      <c r="C67" s="132">
        <f aca="true" t="shared" si="20" ref="C67:H67">SUM(C68:C75)</f>
        <v>0</v>
      </c>
      <c r="D67" s="24">
        <f>SUM(D68:D75)</f>
        <v>33120</v>
      </c>
      <c r="E67" s="24">
        <f t="shared" si="20"/>
        <v>38070</v>
      </c>
      <c r="F67" s="24">
        <f t="shared" si="20"/>
        <v>39070</v>
      </c>
      <c r="G67" s="24">
        <f t="shared" si="20"/>
        <v>39070</v>
      </c>
      <c r="H67" s="24">
        <f t="shared" si="20"/>
        <v>39070</v>
      </c>
      <c r="I67" s="24">
        <f>SUM(I68:I75)</f>
        <v>188400</v>
      </c>
    </row>
    <row r="68" spans="1:9" ht="31.5">
      <c r="A68" s="73">
        <v>1</v>
      </c>
      <c r="B68" s="92" t="s">
        <v>298</v>
      </c>
      <c r="C68" s="117">
        <v>0</v>
      </c>
      <c r="D68" s="74">
        <v>20000</v>
      </c>
      <c r="E68" s="74">
        <v>25000</v>
      </c>
      <c r="F68" s="74">
        <v>25000</v>
      </c>
      <c r="G68" s="74">
        <v>25000</v>
      </c>
      <c r="H68" s="74">
        <v>25000</v>
      </c>
      <c r="I68" s="134">
        <f t="shared" si="19"/>
        <v>120000</v>
      </c>
    </row>
    <row r="69" spans="1:9" ht="31.5">
      <c r="A69" s="73">
        <v>2</v>
      </c>
      <c r="B69" s="92" t="s">
        <v>299</v>
      </c>
      <c r="C69" s="117">
        <v>0</v>
      </c>
      <c r="D69" s="74">
        <v>1000</v>
      </c>
      <c r="E69" s="74">
        <v>1000</v>
      </c>
      <c r="F69" s="74">
        <v>1000</v>
      </c>
      <c r="G69" s="74">
        <v>1000</v>
      </c>
      <c r="H69" s="74">
        <v>1000</v>
      </c>
      <c r="I69" s="134">
        <f t="shared" si="19"/>
        <v>5000</v>
      </c>
    </row>
    <row r="70" spans="1:9" ht="15.75">
      <c r="A70" s="73">
        <v>3</v>
      </c>
      <c r="B70" s="92" t="s">
        <v>302</v>
      </c>
      <c r="C70" s="117">
        <v>0</v>
      </c>
      <c r="D70" s="74">
        <v>3000</v>
      </c>
      <c r="E70" s="74">
        <v>3000</v>
      </c>
      <c r="F70" s="74">
        <v>4000</v>
      </c>
      <c r="G70" s="73">
        <v>4000</v>
      </c>
      <c r="H70" s="74">
        <v>4000</v>
      </c>
      <c r="I70" s="74">
        <f t="shared" si="19"/>
        <v>18000</v>
      </c>
    </row>
    <row r="71" spans="1:9" ht="15.75">
      <c r="A71" s="73">
        <v>4</v>
      </c>
      <c r="B71" s="92" t="s">
        <v>303</v>
      </c>
      <c r="C71" s="117">
        <v>0</v>
      </c>
      <c r="D71" s="74">
        <v>3000</v>
      </c>
      <c r="E71" s="74">
        <v>3000</v>
      </c>
      <c r="F71" s="74">
        <v>3000</v>
      </c>
      <c r="G71" s="74">
        <v>3000</v>
      </c>
      <c r="H71" s="74">
        <v>3000</v>
      </c>
      <c r="I71" s="74">
        <f t="shared" si="19"/>
        <v>15000</v>
      </c>
    </row>
    <row r="72" spans="1:9" ht="15.75">
      <c r="A72" s="73">
        <v>5</v>
      </c>
      <c r="B72" s="31" t="s">
        <v>307</v>
      </c>
      <c r="C72" s="117">
        <v>0</v>
      </c>
      <c r="D72" s="74">
        <v>2520</v>
      </c>
      <c r="E72" s="74">
        <v>2520</v>
      </c>
      <c r="F72" s="74">
        <v>2520</v>
      </c>
      <c r="G72" s="74">
        <v>2520</v>
      </c>
      <c r="H72" s="74">
        <v>2520</v>
      </c>
      <c r="I72" s="74">
        <f t="shared" si="19"/>
        <v>12600</v>
      </c>
    </row>
    <row r="73" spans="1:9" ht="15.75">
      <c r="A73" s="73">
        <v>6</v>
      </c>
      <c r="B73" s="30" t="s">
        <v>308</v>
      </c>
      <c r="C73" s="117">
        <v>0</v>
      </c>
      <c r="D73" s="113">
        <v>1000</v>
      </c>
      <c r="E73" s="113">
        <v>1000</v>
      </c>
      <c r="F73" s="113">
        <v>1000</v>
      </c>
      <c r="G73" s="113">
        <v>1000</v>
      </c>
      <c r="H73" s="113">
        <v>1000</v>
      </c>
      <c r="I73" s="74">
        <f t="shared" si="19"/>
        <v>5000</v>
      </c>
    </row>
    <row r="74" spans="1:9" ht="15.75">
      <c r="A74" s="73">
        <v>7</v>
      </c>
      <c r="B74" s="30" t="s">
        <v>309</v>
      </c>
      <c r="C74" s="117">
        <v>0</v>
      </c>
      <c r="D74" s="113">
        <v>1000</v>
      </c>
      <c r="E74" s="113">
        <v>1000</v>
      </c>
      <c r="F74" s="113">
        <v>1000</v>
      </c>
      <c r="G74" s="113">
        <v>1000</v>
      </c>
      <c r="H74" s="113">
        <v>1000</v>
      </c>
      <c r="I74" s="74">
        <f t="shared" si="19"/>
        <v>5000</v>
      </c>
    </row>
    <row r="75" spans="1:9" ht="15.75">
      <c r="A75" s="82">
        <v>8</v>
      </c>
      <c r="B75" s="143" t="s">
        <v>310</v>
      </c>
      <c r="C75" s="144">
        <v>0</v>
      </c>
      <c r="D75" s="145">
        <f>16000*0.1</f>
        <v>1600</v>
      </c>
      <c r="E75" s="153">
        <f>15500*0.1</f>
        <v>1550</v>
      </c>
      <c r="F75" s="153">
        <f>15500*0.1</f>
        <v>1550</v>
      </c>
      <c r="G75" s="153">
        <f>15500*0.1</f>
        <v>1550</v>
      </c>
      <c r="H75" s="145">
        <f>15500*0.1</f>
        <v>1550</v>
      </c>
      <c r="I75" s="83">
        <f t="shared" si="19"/>
        <v>7800</v>
      </c>
    </row>
    <row r="76" spans="1:9" ht="15.75">
      <c r="A76" s="312"/>
      <c r="B76" s="313"/>
      <c r="C76" s="314"/>
      <c r="D76" s="315"/>
      <c r="E76" s="316"/>
      <c r="F76" s="316"/>
      <c r="G76" s="316"/>
      <c r="H76" s="315"/>
      <c r="I76" s="317"/>
    </row>
    <row r="77" spans="1:9" ht="15.75">
      <c r="A77" s="312"/>
      <c r="B77" s="313"/>
      <c r="C77" s="314"/>
      <c r="D77" s="315"/>
      <c r="E77" s="316"/>
      <c r="F77" s="316"/>
      <c r="G77" s="316"/>
      <c r="H77" s="315"/>
      <c r="I77" s="317"/>
    </row>
    <row r="78" spans="1:9" ht="15.75">
      <c r="A78" s="312"/>
      <c r="B78" s="313"/>
      <c r="C78" s="314"/>
      <c r="D78" s="315"/>
      <c r="E78" s="316"/>
      <c r="F78" s="316"/>
      <c r="G78" s="316"/>
      <c r="H78" s="315"/>
      <c r="I78" s="317"/>
    </row>
    <row r="79" spans="1:9" ht="16.5">
      <c r="A79" s="4"/>
      <c r="B79" s="5"/>
      <c r="C79" s="4"/>
      <c r="D79" s="6"/>
      <c r="E79" s="6"/>
      <c r="F79" s="6"/>
      <c r="G79" s="4"/>
      <c r="H79" s="6"/>
      <c r="I79" s="6"/>
    </row>
    <row r="80" spans="1:9" ht="16.5">
      <c r="A80" s="4"/>
      <c r="B80" s="5"/>
      <c r="C80" s="4"/>
      <c r="D80" s="6"/>
      <c r="E80" s="6"/>
      <c r="F80" s="6"/>
      <c r="G80" s="4"/>
      <c r="H80" s="6"/>
      <c r="I80" s="6"/>
    </row>
    <row r="81" spans="1:9" ht="16.5">
      <c r="A81" s="4"/>
      <c r="B81" s="5"/>
      <c r="C81" s="155"/>
      <c r="D81" s="176">
        <f aca="true" t="shared" si="21" ref="D81:I81">D44+D56</f>
        <v>13200</v>
      </c>
      <c r="E81" s="176">
        <f t="shared" si="21"/>
        <v>13200</v>
      </c>
      <c r="F81" s="176">
        <f t="shared" si="21"/>
        <v>13200</v>
      </c>
      <c r="G81" s="176">
        <f t="shared" si="21"/>
        <v>13200</v>
      </c>
      <c r="H81" s="176">
        <f t="shared" si="21"/>
        <v>13200</v>
      </c>
      <c r="I81" s="176">
        <f t="shared" si="21"/>
        <v>66000</v>
      </c>
    </row>
    <row r="82" spans="1:9" ht="16.5">
      <c r="A82" s="4"/>
      <c r="B82" s="5"/>
      <c r="C82" s="4"/>
      <c r="D82" s="177">
        <f aca="true" t="shared" si="22" ref="D82:I82">D45+D57+D72</f>
        <v>25200</v>
      </c>
      <c r="E82" s="177">
        <f t="shared" si="22"/>
        <v>25200</v>
      </c>
      <c r="F82" s="177">
        <f t="shared" si="22"/>
        <v>25200</v>
      </c>
      <c r="G82" s="177">
        <f t="shared" si="22"/>
        <v>25200</v>
      </c>
      <c r="H82" s="177">
        <f t="shared" si="22"/>
        <v>25200</v>
      </c>
      <c r="I82" s="177">
        <f t="shared" si="22"/>
        <v>126000</v>
      </c>
    </row>
    <row r="83" spans="1:9" ht="16.5">
      <c r="A83" s="4"/>
      <c r="B83" s="5"/>
      <c r="C83" s="4"/>
      <c r="D83" s="176">
        <f aca="true" t="shared" si="23" ref="D83:I83">SUM(D81:D82)</f>
        <v>38400</v>
      </c>
      <c r="E83" s="176">
        <f t="shared" si="23"/>
        <v>38400</v>
      </c>
      <c r="F83" s="176">
        <f t="shared" si="23"/>
        <v>38400</v>
      </c>
      <c r="G83" s="176">
        <f t="shared" si="23"/>
        <v>38400</v>
      </c>
      <c r="H83" s="176">
        <f t="shared" si="23"/>
        <v>38400</v>
      </c>
      <c r="I83" s="176">
        <f t="shared" si="23"/>
        <v>192000</v>
      </c>
    </row>
    <row r="84" spans="1:9" ht="16.5">
      <c r="A84" s="4"/>
      <c r="B84" s="5"/>
      <c r="C84" s="4"/>
      <c r="D84" s="6"/>
      <c r="E84" s="6"/>
      <c r="F84" s="6"/>
      <c r="G84" s="4"/>
      <c r="H84" s="6"/>
      <c r="I84" s="6"/>
    </row>
    <row r="85" spans="1:9" ht="16.5">
      <c r="A85" s="4"/>
      <c r="B85" s="5"/>
      <c r="C85" s="4"/>
      <c r="D85" s="176">
        <f aca="true" t="shared" si="24" ref="D85:I85">D5-D21-D67-D43</f>
        <v>245280</v>
      </c>
      <c r="E85" s="176">
        <f t="shared" si="24"/>
        <v>313330</v>
      </c>
      <c r="F85" s="176">
        <f t="shared" si="24"/>
        <v>442330</v>
      </c>
      <c r="G85" s="176">
        <f t="shared" si="24"/>
        <v>501330</v>
      </c>
      <c r="H85" s="176">
        <f t="shared" si="24"/>
        <v>402330</v>
      </c>
      <c r="I85" s="176">
        <f t="shared" si="24"/>
        <v>1904600</v>
      </c>
    </row>
    <row r="86" spans="1:9" ht="16.5">
      <c r="A86" s="4"/>
      <c r="B86" s="5"/>
      <c r="C86" s="4"/>
      <c r="D86" s="6"/>
      <c r="E86" s="6"/>
      <c r="F86" s="6"/>
      <c r="G86" s="4"/>
      <c r="H86" s="6"/>
      <c r="I86" s="6"/>
    </row>
    <row r="87" spans="1:9" ht="16.5">
      <c r="A87" s="4"/>
      <c r="B87" s="5"/>
      <c r="C87" s="4"/>
      <c r="D87" s="6"/>
      <c r="E87" s="6"/>
      <c r="F87" s="6"/>
      <c r="G87" s="4"/>
      <c r="H87" s="6"/>
      <c r="I87" s="6"/>
    </row>
    <row r="88" spans="1:9" ht="16.5">
      <c r="A88" s="4"/>
      <c r="B88" s="5"/>
      <c r="C88" s="4"/>
      <c r="D88" s="6"/>
      <c r="E88" s="6"/>
      <c r="F88" s="6"/>
      <c r="G88" s="4"/>
      <c r="H88" s="6"/>
      <c r="I88" s="6"/>
    </row>
    <row r="89" spans="1:9" ht="16.5">
      <c r="A89" s="4"/>
      <c r="B89" s="5"/>
      <c r="C89" s="4"/>
      <c r="D89" s="6"/>
      <c r="E89" s="6"/>
      <c r="F89" s="6"/>
      <c r="G89" s="4"/>
      <c r="H89" s="6"/>
      <c r="I89" s="6"/>
    </row>
    <row r="90" spans="1:9" ht="16.5">
      <c r="A90" s="4"/>
      <c r="B90" s="5"/>
      <c r="C90" s="4"/>
      <c r="D90" s="6"/>
      <c r="E90" s="6"/>
      <c r="F90" s="6"/>
      <c r="G90" s="4"/>
      <c r="H90" s="6"/>
      <c r="I90" s="6"/>
    </row>
    <row r="91" spans="1:9" ht="16.5">
      <c r="A91" s="4"/>
      <c r="B91" s="5"/>
      <c r="C91" s="4"/>
      <c r="D91" s="6"/>
      <c r="E91" s="6"/>
      <c r="F91" s="6"/>
      <c r="G91" s="4"/>
      <c r="H91" s="6"/>
      <c r="I91" s="6"/>
    </row>
    <row r="92" spans="1:9" ht="16.5">
      <c r="A92" s="4"/>
      <c r="B92" s="5"/>
      <c r="C92" s="4"/>
      <c r="D92" s="6"/>
      <c r="E92" s="6"/>
      <c r="F92" s="6"/>
      <c r="G92" s="4"/>
      <c r="H92" s="6"/>
      <c r="I92" s="6"/>
    </row>
    <row r="93" spans="1:9" ht="16.5">
      <c r="A93" s="4"/>
      <c r="B93" s="5"/>
      <c r="C93" s="4"/>
      <c r="D93" s="6"/>
      <c r="E93" s="6"/>
      <c r="F93" s="6"/>
      <c r="G93" s="4"/>
      <c r="H93" s="6"/>
      <c r="I93" s="6"/>
    </row>
    <row r="94" spans="1:9" ht="16.5">
      <c r="A94" s="4"/>
      <c r="B94" s="5"/>
      <c r="C94" s="4"/>
      <c r="D94" s="6"/>
      <c r="E94" s="6"/>
      <c r="F94" s="6"/>
      <c r="G94" s="4"/>
      <c r="H94" s="6"/>
      <c r="I94" s="6"/>
    </row>
    <row r="95" spans="1:9" ht="16.5">
      <c r="A95" s="4"/>
      <c r="B95" s="5"/>
      <c r="C95" s="4"/>
      <c r="D95" s="6"/>
      <c r="E95" s="6"/>
      <c r="F95" s="6"/>
      <c r="G95" s="4"/>
      <c r="H95" s="6"/>
      <c r="I95" s="6"/>
    </row>
    <row r="96" spans="1:9" ht="16.5">
      <c r="A96" s="4"/>
      <c r="B96" s="5"/>
      <c r="C96" s="4"/>
      <c r="D96" s="6"/>
      <c r="E96" s="6"/>
      <c r="F96" s="6"/>
      <c r="G96" s="4"/>
      <c r="H96" s="6"/>
      <c r="I96" s="6"/>
    </row>
    <row r="97" spans="1:9" ht="16.5">
      <c r="A97" s="4"/>
      <c r="B97" s="5"/>
      <c r="C97" s="4"/>
      <c r="D97" s="6"/>
      <c r="E97" s="6"/>
      <c r="F97" s="6"/>
      <c r="G97" s="4"/>
      <c r="H97" s="6"/>
      <c r="I97" s="6"/>
    </row>
    <row r="98" spans="1:9" ht="16.5">
      <c r="A98" s="4"/>
      <c r="B98" s="5"/>
      <c r="C98" s="4"/>
      <c r="D98" s="6"/>
      <c r="E98" s="6"/>
      <c r="F98" s="6"/>
      <c r="G98" s="4"/>
      <c r="H98" s="6"/>
      <c r="I98" s="6"/>
    </row>
    <row r="99" spans="1:9" ht="16.5">
      <c r="A99" s="4"/>
      <c r="B99" s="5"/>
      <c r="C99" s="4"/>
      <c r="D99" s="6"/>
      <c r="E99" s="6"/>
      <c r="F99" s="6"/>
      <c r="G99" s="4"/>
      <c r="H99" s="6"/>
      <c r="I99" s="6"/>
    </row>
    <row r="100" spans="1:9" ht="16.5">
      <c r="A100" s="4"/>
      <c r="B100" s="5"/>
      <c r="C100" s="4"/>
      <c r="D100" s="6"/>
      <c r="E100" s="6"/>
      <c r="F100" s="6"/>
      <c r="G100" s="4"/>
      <c r="H100" s="6"/>
      <c r="I100" s="6"/>
    </row>
    <row r="101" spans="1:9" ht="16.5">
      <c r="A101" s="4"/>
      <c r="B101" s="5"/>
      <c r="C101" s="4"/>
      <c r="D101" s="6"/>
      <c r="E101" s="6"/>
      <c r="F101" s="6"/>
      <c r="G101" s="4"/>
      <c r="H101" s="6"/>
      <c r="I101" s="6"/>
    </row>
    <row r="102" spans="1:9" ht="16.5">
      <c r="A102" s="4"/>
      <c r="B102" s="5"/>
      <c r="C102" s="4"/>
      <c r="D102" s="6"/>
      <c r="E102" s="6"/>
      <c r="F102" s="6"/>
      <c r="G102" s="4"/>
      <c r="H102" s="6"/>
      <c r="I102" s="6"/>
    </row>
    <row r="103" spans="1:9" ht="16.5">
      <c r="A103" s="4"/>
      <c r="B103" s="5"/>
      <c r="C103" s="4"/>
      <c r="D103" s="6"/>
      <c r="E103" s="6"/>
      <c r="F103" s="6"/>
      <c r="G103" s="4"/>
      <c r="H103" s="6"/>
      <c r="I103" s="6"/>
    </row>
    <row r="104" spans="1:9" ht="16.5">
      <c r="A104" s="4"/>
      <c r="B104" s="5"/>
      <c r="C104" s="4"/>
      <c r="D104" s="6"/>
      <c r="E104" s="6"/>
      <c r="F104" s="6"/>
      <c r="G104" s="4"/>
      <c r="H104" s="6"/>
      <c r="I104" s="6"/>
    </row>
    <row r="105" spans="1:9" ht="16.5">
      <c r="A105" s="4"/>
      <c r="B105" s="5"/>
      <c r="C105" s="4"/>
      <c r="D105" s="6"/>
      <c r="E105" s="6"/>
      <c r="F105" s="6"/>
      <c r="G105" s="4"/>
      <c r="H105" s="6"/>
      <c r="I105" s="6"/>
    </row>
    <row r="106" spans="1:9" ht="16.5">
      <c r="A106" s="4"/>
      <c r="B106" s="5"/>
      <c r="C106" s="4"/>
      <c r="D106" s="6"/>
      <c r="E106" s="6"/>
      <c r="F106" s="6"/>
      <c r="G106" s="4"/>
      <c r="H106" s="6"/>
      <c r="I106" s="6"/>
    </row>
    <row r="107" spans="1:9" ht="16.5">
      <c r="A107" s="4"/>
      <c r="B107" s="5"/>
      <c r="C107" s="4"/>
      <c r="D107" s="6"/>
      <c r="E107" s="6"/>
      <c r="F107" s="6"/>
      <c r="G107" s="4"/>
      <c r="H107" s="6"/>
      <c r="I107" s="6"/>
    </row>
    <row r="108" spans="1:9" ht="16.5">
      <c r="A108" s="4"/>
      <c r="B108" s="5"/>
      <c r="C108" s="4"/>
      <c r="D108" s="6"/>
      <c r="E108" s="6"/>
      <c r="F108" s="6"/>
      <c r="G108" s="4"/>
      <c r="H108" s="6"/>
      <c r="I108" s="6"/>
    </row>
    <row r="109" spans="1:9" ht="16.5">
      <c r="A109" s="4"/>
      <c r="B109" s="5"/>
      <c r="C109" s="4"/>
      <c r="D109" s="6"/>
      <c r="E109" s="6"/>
      <c r="F109" s="6"/>
      <c r="G109" s="4"/>
      <c r="H109" s="6"/>
      <c r="I109" s="6"/>
    </row>
    <row r="110" spans="1:9" ht="16.5">
      <c r="A110" s="4"/>
      <c r="B110" s="5"/>
      <c r="C110" s="4"/>
      <c r="D110" s="6"/>
      <c r="E110" s="6"/>
      <c r="F110" s="6"/>
      <c r="G110" s="4"/>
      <c r="H110" s="6"/>
      <c r="I110" s="6"/>
    </row>
    <row r="111" spans="1:9" ht="16.5">
      <c r="A111" s="4"/>
      <c r="B111" s="5"/>
      <c r="C111" s="4"/>
      <c r="D111" s="6"/>
      <c r="E111" s="6"/>
      <c r="F111" s="6"/>
      <c r="G111" s="4"/>
      <c r="H111" s="6"/>
      <c r="I111" s="6"/>
    </row>
    <row r="112" spans="1:9" ht="16.5">
      <c r="A112" s="4"/>
      <c r="B112" s="5"/>
      <c r="C112" s="4"/>
      <c r="D112" s="6"/>
      <c r="E112" s="6"/>
      <c r="F112" s="6"/>
      <c r="G112" s="4"/>
      <c r="H112" s="6"/>
      <c r="I112" s="6"/>
    </row>
    <row r="113" spans="1:9" ht="16.5">
      <c r="A113" s="4"/>
      <c r="B113" s="5"/>
      <c r="C113" s="4"/>
      <c r="D113" s="6"/>
      <c r="E113" s="6"/>
      <c r="F113" s="6"/>
      <c r="G113" s="4"/>
      <c r="H113" s="6"/>
      <c r="I113" s="6"/>
    </row>
    <row r="114" spans="1:9" ht="16.5">
      <c r="A114" s="4"/>
      <c r="B114" s="5"/>
      <c r="C114" s="4"/>
      <c r="D114" s="6"/>
      <c r="E114" s="6"/>
      <c r="F114" s="6"/>
      <c r="G114" s="4"/>
      <c r="H114" s="6"/>
      <c r="I114" s="6"/>
    </row>
    <row r="115" spans="1:9" ht="16.5">
      <c r="A115" s="4"/>
      <c r="B115" s="5"/>
      <c r="C115" s="4"/>
      <c r="D115" s="6"/>
      <c r="E115" s="6"/>
      <c r="F115" s="6"/>
      <c r="G115" s="4"/>
      <c r="H115" s="6"/>
      <c r="I115" s="6"/>
    </row>
    <row r="116" spans="1:9" ht="16.5">
      <c r="A116" s="4"/>
      <c r="B116" s="5"/>
      <c r="C116" s="4"/>
      <c r="D116" s="6"/>
      <c r="E116" s="6"/>
      <c r="F116" s="6"/>
      <c r="G116" s="4"/>
      <c r="H116" s="6"/>
      <c r="I116" s="6"/>
    </row>
    <row r="117" spans="1:9" ht="16.5">
      <c r="A117" s="4"/>
      <c r="B117" s="5"/>
      <c r="C117" s="4"/>
      <c r="D117" s="6"/>
      <c r="E117" s="6"/>
      <c r="F117" s="6"/>
      <c r="G117" s="4"/>
      <c r="H117" s="6"/>
      <c r="I117" s="6"/>
    </row>
    <row r="118" spans="1:9" ht="16.5">
      <c r="A118" s="4"/>
      <c r="B118" s="5"/>
      <c r="C118" s="4"/>
      <c r="D118" s="6"/>
      <c r="E118" s="6"/>
      <c r="F118" s="6"/>
      <c r="G118" s="4"/>
      <c r="H118" s="6"/>
      <c r="I118" s="6"/>
    </row>
    <row r="119" spans="1:9" ht="16.5">
      <c r="A119" s="4"/>
      <c r="B119" s="5"/>
      <c r="C119" s="4"/>
      <c r="D119" s="6"/>
      <c r="E119" s="6"/>
      <c r="F119" s="6"/>
      <c r="G119" s="4"/>
      <c r="H119" s="6"/>
      <c r="I119" s="6"/>
    </row>
    <row r="120" spans="1:9" ht="16.5">
      <c r="A120" s="4"/>
      <c r="B120" s="5"/>
      <c r="C120" s="4"/>
      <c r="D120" s="6"/>
      <c r="E120" s="6"/>
      <c r="F120" s="6"/>
      <c r="G120" s="4"/>
      <c r="H120" s="6"/>
      <c r="I120" s="6"/>
    </row>
    <row r="121" spans="1:9" ht="16.5">
      <c r="A121" s="4"/>
      <c r="B121" s="5"/>
      <c r="C121" s="4"/>
      <c r="D121" s="6"/>
      <c r="E121" s="6"/>
      <c r="F121" s="6"/>
      <c r="G121" s="4"/>
      <c r="H121" s="6"/>
      <c r="I121" s="6"/>
    </row>
    <row r="122" spans="1:9" ht="16.5">
      <c r="A122" s="4"/>
      <c r="B122" s="5"/>
      <c r="C122" s="4"/>
      <c r="D122" s="6"/>
      <c r="E122" s="6"/>
      <c r="F122" s="6"/>
      <c r="G122" s="4"/>
      <c r="H122" s="6"/>
      <c r="I122" s="6"/>
    </row>
    <row r="123" spans="1:9" ht="16.5">
      <c r="A123" s="4"/>
      <c r="B123" s="5"/>
      <c r="C123" s="4"/>
      <c r="D123" s="6"/>
      <c r="E123" s="6"/>
      <c r="F123" s="6"/>
      <c r="G123" s="4"/>
      <c r="H123" s="6"/>
      <c r="I123" s="6"/>
    </row>
    <row r="124" spans="1:9" ht="16.5">
      <c r="A124" s="4"/>
      <c r="B124" s="5"/>
      <c r="C124" s="4"/>
      <c r="D124" s="6"/>
      <c r="E124" s="6"/>
      <c r="F124" s="6"/>
      <c r="G124" s="4"/>
      <c r="H124" s="6"/>
      <c r="I124" s="6"/>
    </row>
    <row r="125" spans="1:9" ht="16.5">
      <c r="A125" s="4"/>
      <c r="B125" s="5"/>
      <c r="C125" s="4"/>
      <c r="D125" s="6"/>
      <c r="E125" s="6"/>
      <c r="F125" s="6"/>
      <c r="G125" s="4"/>
      <c r="H125" s="6"/>
      <c r="I125" s="6"/>
    </row>
    <row r="126" spans="1:9" ht="16.5">
      <c r="A126" s="4"/>
      <c r="B126" s="5"/>
      <c r="C126" s="4"/>
      <c r="D126" s="6"/>
      <c r="E126" s="6"/>
      <c r="F126" s="6"/>
      <c r="G126" s="4"/>
      <c r="H126" s="6"/>
      <c r="I126" s="6"/>
    </row>
    <row r="127" spans="1:9" ht="16.5">
      <c r="A127" s="4"/>
      <c r="B127" s="5"/>
      <c r="C127" s="4"/>
      <c r="D127" s="6"/>
      <c r="E127" s="6"/>
      <c r="F127" s="6"/>
      <c r="G127" s="4"/>
      <c r="H127" s="6"/>
      <c r="I127" s="6"/>
    </row>
    <row r="128" spans="1:9" ht="16.5">
      <c r="A128" s="4"/>
      <c r="B128" s="5"/>
      <c r="C128" s="4"/>
      <c r="D128" s="6"/>
      <c r="E128" s="6"/>
      <c r="F128" s="6"/>
      <c r="G128" s="4"/>
      <c r="H128" s="6"/>
      <c r="I128" s="6"/>
    </row>
    <row r="129" spans="1:9" ht="16.5">
      <c r="A129" s="4"/>
      <c r="B129" s="5"/>
      <c r="C129" s="4"/>
      <c r="D129" s="6"/>
      <c r="E129" s="6"/>
      <c r="F129" s="6"/>
      <c r="G129" s="4"/>
      <c r="H129" s="6"/>
      <c r="I129" s="6"/>
    </row>
    <row r="130" spans="1:9" ht="16.5">
      <c r="A130" s="4"/>
      <c r="B130" s="5"/>
      <c r="C130" s="4"/>
      <c r="D130" s="6"/>
      <c r="E130" s="6"/>
      <c r="F130" s="6"/>
      <c r="G130" s="4"/>
      <c r="H130" s="6"/>
      <c r="I130" s="6"/>
    </row>
    <row r="131" spans="1:9" ht="16.5">
      <c r="A131" s="4"/>
      <c r="B131" s="5"/>
      <c r="C131" s="4"/>
      <c r="D131" s="6"/>
      <c r="E131" s="6"/>
      <c r="F131" s="6"/>
      <c r="G131" s="4"/>
      <c r="H131" s="6"/>
      <c r="I131" s="6"/>
    </row>
    <row r="132" spans="1:9" ht="16.5">
      <c r="A132" s="4"/>
      <c r="B132" s="5"/>
      <c r="C132" s="4"/>
      <c r="D132" s="6"/>
      <c r="E132" s="6"/>
      <c r="F132" s="6"/>
      <c r="G132" s="4"/>
      <c r="H132" s="6"/>
      <c r="I132" s="6"/>
    </row>
    <row r="133" spans="1:9" ht="16.5">
      <c r="A133" s="4"/>
      <c r="B133" s="5"/>
      <c r="C133" s="4"/>
      <c r="D133" s="6"/>
      <c r="E133" s="6"/>
      <c r="F133" s="6"/>
      <c r="G133" s="4"/>
      <c r="H133" s="6"/>
      <c r="I133" s="6"/>
    </row>
    <row r="134" spans="1:9" ht="16.5">
      <c r="A134" s="4"/>
      <c r="B134" s="5"/>
      <c r="C134" s="4"/>
      <c r="D134" s="6"/>
      <c r="E134" s="6"/>
      <c r="F134" s="6"/>
      <c r="G134" s="4"/>
      <c r="H134" s="6"/>
      <c r="I134" s="6"/>
    </row>
    <row r="135" spans="1:9" ht="16.5">
      <c r="A135" s="4"/>
      <c r="B135" s="5"/>
      <c r="C135" s="4"/>
      <c r="D135" s="6"/>
      <c r="E135" s="6"/>
      <c r="F135" s="6"/>
      <c r="G135" s="4"/>
      <c r="H135" s="6"/>
      <c r="I135" s="6"/>
    </row>
    <row r="136" spans="1:9" ht="16.5">
      <c r="A136" s="4"/>
      <c r="B136" s="5"/>
      <c r="C136" s="4"/>
      <c r="D136" s="6"/>
      <c r="E136" s="6"/>
      <c r="F136" s="6"/>
      <c r="G136" s="4"/>
      <c r="H136" s="6"/>
      <c r="I136" s="6"/>
    </row>
    <row r="137" spans="1:9" ht="16.5">
      <c r="A137" s="4"/>
      <c r="B137" s="5"/>
      <c r="C137" s="4"/>
      <c r="D137" s="6"/>
      <c r="E137" s="6"/>
      <c r="F137" s="6"/>
      <c r="G137" s="4"/>
      <c r="H137" s="6"/>
      <c r="I137" s="6"/>
    </row>
    <row r="138" spans="1:9" ht="16.5">
      <c r="A138" s="4"/>
      <c r="B138" s="5"/>
      <c r="C138" s="4"/>
      <c r="D138" s="6"/>
      <c r="E138" s="6"/>
      <c r="F138" s="6"/>
      <c r="G138" s="4"/>
      <c r="H138" s="6"/>
      <c r="I138" s="6"/>
    </row>
    <row r="139" spans="1:9" ht="16.5">
      <c r="A139" s="4"/>
      <c r="B139" s="5"/>
      <c r="C139" s="4"/>
      <c r="D139" s="6"/>
      <c r="E139" s="6"/>
      <c r="F139" s="6"/>
      <c r="G139" s="4"/>
      <c r="H139" s="6"/>
      <c r="I139" s="6"/>
    </row>
    <row r="140" spans="1:9" ht="16.5">
      <c r="A140" s="4"/>
      <c r="B140" s="5"/>
      <c r="C140" s="4"/>
      <c r="D140" s="6"/>
      <c r="E140" s="6"/>
      <c r="F140" s="6"/>
      <c r="G140" s="4"/>
      <c r="H140" s="6"/>
      <c r="I140" s="6"/>
    </row>
    <row r="141" spans="1:9" ht="16.5">
      <c r="A141" s="4"/>
      <c r="B141" s="5"/>
      <c r="C141" s="4"/>
      <c r="D141" s="6"/>
      <c r="E141" s="6"/>
      <c r="F141" s="6"/>
      <c r="G141" s="4"/>
      <c r="H141" s="6"/>
      <c r="I141" s="6"/>
    </row>
    <row r="142" spans="1:9" ht="16.5">
      <c r="A142" s="4"/>
      <c r="B142" s="5"/>
      <c r="C142" s="4"/>
      <c r="D142" s="6"/>
      <c r="E142" s="6"/>
      <c r="F142" s="6"/>
      <c r="G142" s="4"/>
      <c r="H142" s="6"/>
      <c r="I142" s="6"/>
    </row>
    <row r="143" spans="1:9" ht="16.5">
      <c r="A143" s="4"/>
      <c r="B143" s="5"/>
      <c r="C143" s="4"/>
      <c r="D143" s="6"/>
      <c r="E143" s="6"/>
      <c r="F143" s="6"/>
      <c r="G143" s="4"/>
      <c r="H143" s="6"/>
      <c r="I143" s="6"/>
    </row>
    <row r="144" spans="1:9" ht="16.5">
      <c r="A144" s="4"/>
      <c r="B144" s="5"/>
      <c r="C144" s="4"/>
      <c r="D144" s="6"/>
      <c r="E144" s="6"/>
      <c r="F144" s="6"/>
      <c r="G144" s="4"/>
      <c r="H144" s="6"/>
      <c r="I144" s="6"/>
    </row>
    <row r="145" spans="1:9" ht="16.5">
      <c r="A145" s="4"/>
      <c r="B145" s="5"/>
      <c r="C145" s="4"/>
      <c r="D145" s="6"/>
      <c r="E145" s="6"/>
      <c r="F145" s="6"/>
      <c r="G145" s="4"/>
      <c r="H145" s="6"/>
      <c r="I145" s="6"/>
    </row>
    <row r="146" spans="1:9" ht="16.5">
      <c r="A146" s="4"/>
      <c r="B146" s="5"/>
      <c r="C146" s="4"/>
      <c r="D146" s="6"/>
      <c r="E146" s="6"/>
      <c r="F146" s="6"/>
      <c r="G146" s="4"/>
      <c r="H146" s="6"/>
      <c r="I146" s="6"/>
    </row>
    <row r="147" spans="1:9" ht="16.5">
      <c r="A147" s="4"/>
      <c r="B147" s="5"/>
      <c r="C147" s="4"/>
      <c r="D147" s="6"/>
      <c r="E147" s="6"/>
      <c r="F147" s="6"/>
      <c r="G147" s="4"/>
      <c r="H147" s="6"/>
      <c r="I147" s="6"/>
    </row>
    <row r="148" spans="1:9" ht="16.5">
      <c r="A148" s="4"/>
      <c r="B148" s="5"/>
      <c r="C148" s="4"/>
      <c r="D148" s="6"/>
      <c r="E148" s="6"/>
      <c r="F148" s="6"/>
      <c r="G148" s="4"/>
      <c r="H148" s="6"/>
      <c r="I148" s="6"/>
    </row>
    <row r="149" spans="1:9" ht="16.5">
      <c r="A149" s="4"/>
      <c r="B149" s="5"/>
      <c r="C149" s="4"/>
      <c r="D149" s="6"/>
      <c r="E149" s="6"/>
      <c r="F149" s="6"/>
      <c r="G149" s="4"/>
      <c r="H149" s="6"/>
      <c r="I149" s="6"/>
    </row>
    <row r="150" spans="1:9" ht="16.5">
      <c r="A150" s="4"/>
      <c r="B150" s="5"/>
      <c r="C150" s="4"/>
      <c r="D150" s="6"/>
      <c r="E150" s="6"/>
      <c r="F150" s="6"/>
      <c r="G150" s="4"/>
      <c r="H150" s="6"/>
      <c r="I150" s="6"/>
    </row>
    <row r="151" spans="1:9" ht="16.5">
      <c r="A151" s="4"/>
      <c r="B151" s="5"/>
      <c r="C151" s="4"/>
      <c r="D151" s="6"/>
      <c r="E151" s="6"/>
      <c r="F151" s="6"/>
      <c r="G151" s="4"/>
      <c r="H151" s="6"/>
      <c r="I151" s="6"/>
    </row>
    <row r="152" spans="1:9" ht="16.5">
      <c r="A152" s="4"/>
      <c r="B152" s="5"/>
      <c r="C152" s="4"/>
      <c r="D152" s="6"/>
      <c r="E152" s="6"/>
      <c r="F152" s="6"/>
      <c r="G152" s="4"/>
      <c r="H152" s="6"/>
      <c r="I152" s="6"/>
    </row>
    <row r="153" spans="1:9" ht="16.5">
      <c r="A153" s="4"/>
      <c r="B153" s="5"/>
      <c r="C153" s="4"/>
      <c r="D153" s="6"/>
      <c r="E153" s="6"/>
      <c r="F153" s="6"/>
      <c r="G153" s="4"/>
      <c r="H153" s="6"/>
      <c r="I153" s="6"/>
    </row>
    <row r="154" spans="1:9" ht="16.5">
      <c r="A154" s="4"/>
      <c r="B154" s="5"/>
      <c r="C154" s="4"/>
      <c r="D154" s="6"/>
      <c r="E154" s="6"/>
      <c r="F154" s="6"/>
      <c r="G154" s="4"/>
      <c r="H154" s="6"/>
      <c r="I154" s="6"/>
    </row>
    <row r="155" spans="1:9" ht="16.5">
      <c r="A155" s="4"/>
      <c r="B155" s="5"/>
      <c r="C155" s="4"/>
      <c r="D155" s="6"/>
      <c r="E155" s="6"/>
      <c r="F155" s="6"/>
      <c r="G155" s="4"/>
      <c r="H155" s="6"/>
      <c r="I155" s="6"/>
    </row>
    <row r="156" spans="1:9" ht="16.5">
      <c r="A156" s="4"/>
      <c r="B156" s="5"/>
      <c r="C156" s="4"/>
      <c r="D156" s="6"/>
      <c r="E156" s="6"/>
      <c r="F156" s="6"/>
      <c r="G156" s="4"/>
      <c r="H156" s="6"/>
      <c r="I156" s="6"/>
    </row>
    <row r="157" spans="1:9" ht="16.5">
      <c r="A157" s="4"/>
      <c r="B157" s="5"/>
      <c r="C157" s="4"/>
      <c r="D157" s="6"/>
      <c r="E157" s="6"/>
      <c r="F157" s="6"/>
      <c r="G157" s="4"/>
      <c r="H157" s="6"/>
      <c r="I157" s="6"/>
    </row>
    <row r="158" spans="1:9" ht="16.5">
      <c r="A158" s="4"/>
      <c r="B158" s="5"/>
      <c r="C158" s="4"/>
      <c r="D158" s="6"/>
      <c r="E158" s="6"/>
      <c r="F158" s="6"/>
      <c r="G158" s="4"/>
      <c r="H158" s="6"/>
      <c r="I158" s="6"/>
    </row>
    <row r="159" spans="1:9" ht="16.5">
      <c r="A159" s="4"/>
      <c r="B159" s="5"/>
      <c r="C159" s="4"/>
      <c r="D159" s="6"/>
      <c r="E159" s="6"/>
      <c r="F159" s="6"/>
      <c r="G159" s="4"/>
      <c r="H159" s="6"/>
      <c r="I159" s="6"/>
    </row>
    <row r="160" spans="1:9" ht="16.5">
      <c r="A160" s="4"/>
      <c r="B160" s="5"/>
      <c r="C160" s="4"/>
      <c r="D160" s="6"/>
      <c r="E160" s="6"/>
      <c r="F160" s="6"/>
      <c r="G160" s="4"/>
      <c r="H160" s="6"/>
      <c r="I160" s="6"/>
    </row>
    <row r="161" spans="1:9" ht="16.5">
      <c r="A161" s="4"/>
      <c r="B161" s="5"/>
      <c r="C161" s="4"/>
      <c r="D161" s="6"/>
      <c r="E161" s="6"/>
      <c r="F161" s="6"/>
      <c r="G161" s="4"/>
      <c r="H161" s="6"/>
      <c r="I161" s="6"/>
    </row>
    <row r="162" spans="1:9" ht="16.5">
      <c r="A162" s="4"/>
      <c r="B162" s="5"/>
      <c r="C162" s="4"/>
      <c r="D162" s="6"/>
      <c r="E162" s="6"/>
      <c r="F162" s="6"/>
      <c r="G162" s="4"/>
      <c r="H162" s="6"/>
      <c r="I162" s="6"/>
    </row>
    <row r="163" spans="1:9" ht="16.5">
      <c r="A163" s="4"/>
      <c r="B163" s="5"/>
      <c r="C163" s="4"/>
      <c r="D163" s="6"/>
      <c r="E163" s="6"/>
      <c r="F163" s="6"/>
      <c r="G163" s="4"/>
      <c r="H163" s="6"/>
      <c r="I163" s="6"/>
    </row>
    <row r="164" spans="1:9" ht="16.5">
      <c r="A164" s="4"/>
      <c r="B164" s="5"/>
      <c r="C164" s="4"/>
      <c r="D164" s="6"/>
      <c r="E164" s="6"/>
      <c r="F164" s="6"/>
      <c r="G164" s="4"/>
      <c r="H164" s="6"/>
      <c r="I164" s="6"/>
    </row>
    <row r="165" spans="1:9" ht="16.5">
      <c r="A165" s="4"/>
      <c r="B165" s="5"/>
      <c r="C165" s="4"/>
      <c r="D165" s="6"/>
      <c r="E165" s="6"/>
      <c r="F165" s="6"/>
      <c r="G165" s="4"/>
      <c r="H165" s="6"/>
      <c r="I165" s="6"/>
    </row>
    <row r="166" spans="1:9" ht="16.5">
      <c r="A166" s="4"/>
      <c r="B166" s="5"/>
      <c r="C166" s="4"/>
      <c r="D166" s="6"/>
      <c r="E166" s="6"/>
      <c r="F166" s="6"/>
      <c r="G166" s="4"/>
      <c r="H166" s="6"/>
      <c r="I166" s="6"/>
    </row>
    <row r="167" spans="1:9" ht="16.5">
      <c r="A167" s="4"/>
      <c r="B167" s="5"/>
      <c r="C167" s="4"/>
      <c r="D167" s="6"/>
      <c r="E167" s="6"/>
      <c r="F167" s="6"/>
      <c r="G167" s="4"/>
      <c r="H167" s="6"/>
      <c r="I167" s="6"/>
    </row>
    <row r="168" spans="1:9" ht="16.5">
      <c r="A168" s="4"/>
      <c r="B168" s="5"/>
      <c r="C168" s="4"/>
      <c r="D168" s="6"/>
      <c r="E168" s="6"/>
      <c r="F168" s="6"/>
      <c r="G168" s="4"/>
      <c r="H168" s="6"/>
      <c r="I168" s="6"/>
    </row>
    <row r="169" spans="1:9" ht="16.5">
      <c r="A169" s="4"/>
      <c r="B169" s="5"/>
      <c r="C169" s="4"/>
      <c r="D169" s="6"/>
      <c r="E169" s="6"/>
      <c r="F169" s="6"/>
      <c r="G169" s="4"/>
      <c r="H169" s="6"/>
      <c r="I169" s="6"/>
    </row>
    <row r="170" spans="1:9" ht="16.5">
      <c r="A170" s="4"/>
      <c r="B170" s="5"/>
      <c r="C170" s="4"/>
      <c r="D170" s="6"/>
      <c r="E170" s="6"/>
      <c r="F170" s="6"/>
      <c r="G170" s="4"/>
      <c r="H170" s="6"/>
      <c r="I170" s="6"/>
    </row>
    <row r="171" spans="1:9" ht="16.5">
      <c r="A171" s="4"/>
      <c r="B171" s="5"/>
      <c r="C171" s="4"/>
      <c r="D171" s="6"/>
      <c r="E171" s="6"/>
      <c r="F171" s="6"/>
      <c r="G171" s="4"/>
      <c r="H171" s="6"/>
      <c r="I171" s="6"/>
    </row>
    <row r="172" spans="1:9" ht="16.5">
      <c r="A172" s="4"/>
      <c r="B172" s="5"/>
      <c r="C172" s="4"/>
      <c r="D172" s="6"/>
      <c r="E172" s="6"/>
      <c r="F172" s="6"/>
      <c r="G172" s="4"/>
      <c r="H172" s="6"/>
      <c r="I172" s="6"/>
    </row>
    <row r="173" spans="1:9" ht="16.5">
      <c r="A173" s="4"/>
      <c r="B173" s="5"/>
      <c r="C173" s="4"/>
      <c r="D173" s="6"/>
      <c r="E173" s="6"/>
      <c r="F173" s="6"/>
      <c r="G173" s="4"/>
      <c r="H173" s="6"/>
      <c r="I173" s="6"/>
    </row>
    <row r="174" spans="1:9" ht="16.5">
      <c r="A174" s="4"/>
      <c r="B174" s="5"/>
      <c r="C174" s="4"/>
      <c r="D174" s="6"/>
      <c r="E174" s="6"/>
      <c r="F174" s="6"/>
      <c r="G174" s="4"/>
      <c r="H174" s="6"/>
      <c r="I174" s="6"/>
    </row>
    <row r="175" spans="1:9" ht="16.5">
      <c r="A175" s="4"/>
      <c r="B175" s="5"/>
      <c r="C175" s="4"/>
      <c r="D175" s="6"/>
      <c r="E175" s="6"/>
      <c r="F175" s="6"/>
      <c r="G175" s="4"/>
      <c r="H175" s="6"/>
      <c r="I175" s="6"/>
    </row>
    <row r="176" spans="1:9" ht="16.5">
      <c r="A176" s="4"/>
      <c r="B176" s="5"/>
      <c r="C176" s="4"/>
      <c r="D176" s="6"/>
      <c r="E176" s="6"/>
      <c r="F176" s="6"/>
      <c r="G176" s="4"/>
      <c r="H176" s="6"/>
      <c r="I176" s="6"/>
    </row>
    <row r="177" spans="1:9" ht="16.5">
      <c r="A177" s="4"/>
      <c r="B177" s="5"/>
      <c r="C177" s="4"/>
      <c r="D177" s="6"/>
      <c r="E177" s="6"/>
      <c r="F177" s="6"/>
      <c r="G177" s="4"/>
      <c r="H177" s="6"/>
      <c r="I177" s="6"/>
    </row>
    <row r="178" spans="1:9" ht="16.5">
      <c r="A178" s="4"/>
      <c r="B178" s="5"/>
      <c r="C178" s="4"/>
      <c r="D178" s="6"/>
      <c r="E178" s="6"/>
      <c r="F178" s="6"/>
      <c r="G178" s="4"/>
      <c r="H178" s="6"/>
      <c r="I178" s="6"/>
    </row>
    <row r="179" spans="1:9" ht="16.5">
      <c r="A179" s="4"/>
      <c r="B179" s="5"/>
      <c r="C179" s="4"/>
      <c r="D179" s="6"/>
      <c r="E179" s="6"/>
      <c r="F179" s="6"/>
      <c r="G179" s="4"/>
      <c r="H179" s="6"/>
      <c r="I179" s="6"/>
    </row>
    <row r="180" spans="1:9" ht="16.5">
      <c r="A180" s="4"/>
      <c r="B180" s="5"/>
      <c r="C180" s="4"/>
      <c r="D180" s="6"/>
      <c r="E180" s="6"/>
      <c r="F180" s="6"/>
      <c r="G180" s="4"/>
      <c r="H180" s="6"/>
      <c r="I180" s="6"/>
    </row>
    <row r="181" spans="1:9" ht="16.5">
      <c r="A181" s="4"/>
      <c r="B181" s="5"/>
      <c r="C181" s="4"/>
      <c r="D181" s="6"/>
      <c r="E181" s="6"/>
      <c r="F181" s="6"/>
      <c r="G181" s="4"/>
      <c r="H181" s="6"/>
      <c r="I181" s="6"/>
    </row>
    <row r="182" spans="1:9" ht="16.5">
      <c r="A182" s="4"/>
      <c r="B182" s="5"/>
      <c r="C182" s="4"/>
      <c r="D182" s="6"/>
      <c r="E182" s="6"/>
      <c r="F182" s="6"/>
      <c r="G182" s="4"/>
      <c r="H182" s="6"/>
      <c r="I182" s="6"/>
    </row>
    <row r="183" spans="1:9" ht="16.5">
      <c r="A183" s="4"/>
      <c r="B183" s="5"/>
      <c r="C183" s="4"/>
      <c r="D183" s="6"/>
      <c r="E183" s="6"/>
      <c r="F183" s="6"/>
      <c r="G183" s="4"/>
      <c r="H183" s="6"/>
      <c r="I183" s="6"/>
    </row>
    <row r="184" spans="1:9" ht="16.5">
      <c r="A184" s="4"/>
      <c r="B184" s="5"/>
      <c r="C184" s="4"/>
      <c r="D184" s="6"/>
      <c r="E184" s="6"/>
      <c r="F184" s="6"/>
      <c r="G184" s="4"/>
      <c r="H184" s="6"/>
      <c r="I184" s="6"/>
    </row>
    <row r="185" spans="1:9" ht="16.5">
      <c r="A185" s="4"/>
      <c r="B185" s="5"/>
      <c r="C185" s="4"/>
      <c r="D185" s="6"/>
      <c r="E185" s="6"/>
      <c r="F185" s="6"/>
      <c r="G185" s="4"/>
      <c r="H185" s="6"/>
      <c r="I185" s="6"/>
    </row>
    <row r="186" spans="1:9" ht="16.5">
      <c r="A186" s="4"/>
      <c r="B186" s="5"/>
      <c r="C186" s="4"/>
      <c r="D186" s="6"/>
      <c r="E186" s="6"/>
      <c r="F186" s="6"/>
      <c r="G186" s="4"/>
      <c r="H186" s="6"/>
      <c r="I186" s="6"/>
    </row>
    <row r="187" spans="1:9" ht="16.5">
      <c r="A187" s="4"/>
      <c r="B187" s="5"/>
      <c r="C187" s="4"/>
      <c r="D187" s="6"/>
      <c r="E187" s="6"/>
      <c r="F187" s="6"/>
      <c r="G187" s="4"/>
      <c r="H187" s="6"/>
      <c r="I187" s="6"/>
    </row>
    <row r="188" spans="1:9" ht="16.5">
      <c r="A188" s="4"/>
      <c r="B188" s="5"/>
      <c r="C188" s="4"/>
      <c r="D188" s="6"/>
      <c r="E188" s="6"/>
      <c r="F188" s="6"/>
      <c r="G188" s="4"/>
      <c r="H188" s="6"/>
      <c r="I188" s="6"/>
    </row>
    <row r="189" spans="1:9" ht="16.5">
      <c r="A189" s="4"/>
      <c r="B189" s="5"/>
      <c r="C189" s="4"/>
      <c r="D189" s="6"/>
      <c r="E189" s="6"/>
      <c r="F189" s="6"/>
      <c r="G189" s="4"/>
      <c r="H189" s="6"/>
      <c r="I189" s="6"/>
    </row>
    <row r="190" spans="1:9" ht="16.5">
      <c r="A190" s="4"/>
      <c r="B190" s="5"/>
      <c r="C190" s="4"/>
      <c r="D190" s="6"/>
      <c r="E190" s="6"/>
      <c r="F190" s="6"/>
      <c r="G190" s="4"/>
      <c r="H190" s="6"/>
      <c r="I190" s="6"/>
    </row>
    <row r="191" spans="1:9" ht="16.5">
      <c r="A191" s="4"/>
      <c r="B191" s="5"/>
      <c r="C191" s="4"/>
      <c r="D191" s="6"/>
      <c r="E191" s="6"/>
      <c r="F191" s="6"/>
      <c r="G191" s="4"/>
      <c r="H191" s="6"/>
      <c r="I191" s="6"/>
    </row>
    <row r="192" spans="1:9" ht="16.5">
      <c r="A192" s="4"/>
      <c r="B192" s="5"/>
      <c r="C192" s="4"/>
      <c r="D192" s="6"/>
      <c r="E192" s="6"/>
      <c r="F192" s="6"/>
      <c r="G192" s="4"/>
      <c r="H192" s="6"/>
      <c r="I192" s="6"/>
    </row>
    <row r="193" spans="1:9" ht="16.5">
      <c r="A193" s="4"/>
      <c r="B193" s="5"/>
      <c r="C193" s="4"/>
      <c r="D193" s="6"/>
      <c r="E193" s="6"/>
      <c r="F193" s="6"/>
      <c r="G193" s="4"/>
      <c r="H193" s="6"/>
      <c r="I193" s="6"/>
    </row>
    <row r="194" spans="1:9" ht="16.5">
      <c r="A194" s="4"/>
      <c r="B194" s="5"/>
      <c r="C194" s="4"/>
      <c r="D194" s="6"/>
      <c r="E194" s="6"/>
      <c r="F194" s="6"/>
      <c r="G194" s="4"/>
      <c r="H194" s="6"/>
      <c r="I194" s="6"/>
    </row>
    <row r="195" spans="1:9" ht="16.5">
      <c r="A195" s="4"/>
      <c r="B195" s="5"/>
      <c r="C195" s="4"/>
      <c r="D195" s="6"/>
      <c r="E195" s="6"/>
      <c r="F195" s="6"/>
      <c r="G195" s="4"/>
      <c r="H195" s="6"/>
      <c r="I195" s="6"/>
    </row>
    <row r="196" spans="1:9" ht="16.5">
      <c r="A196" s="4"/>
      <c r="B196" s="5"/>
      <c r="C196" s="4"/>
      <c r="D196" s="6"/>
      <c r="E196" s="6"/>
      <c r="F196" s="6"/>
      <c r="G196" s="4"/>
      <c r="H196" s="6"/>
      <c r="I196" s="6"/>
    </row>
    <row r="197" spans="1:9" ht="16.5">
      <c r="A197" s="4"/>
      <c r="B197" s="5"/>
      <c r="C197" s="4"/>
      <c r="D197" s="6"/>
      <c r="E197" s="6"/>
      <c r="F197" s="6"/>
      <c r="G197" s="4"/>
      <c r="H197" s="6"/>
      <c r="I197" s="6"/>
    </row>
    <row r="198" spans="1:9" ht="16.5">
      <c r="A198" s="4"/>
      <c r="B198" s="5"/>
      <c r="C198" s="4"/>
      <c r="D198" s="6"/>
      <c r="E198" s="6"/>
      <c r="F198" s="6"/>
      <c r="G198" s="4"/>
      <c r="H198" s="6"/>
      <c r="I198" s="6"/>
    </row>
    <row r="199" spans="1:9" ht="16.5">
      <c r="A199" s="4"/>
      <c r="B199" s="5"/>
      <c r="C199" s="4"/>
      <c r="D199" s="6"/>
      <c r="E199" s="6"/>
      <c r="F199" s="6"/>
      <c r="G199" s="4"/>
      <c r="H199" s="6"/>
      <c r="I199" s="6"/>
    </row>
    <row r="200" spans="1:9" ht="16.5">
      <c r="A200" s="4"/>
      <c r="B200" s="5"/>
      <c r="C200" s="4"/>
      <c r="D200" s="6"/>
      <c r="E200" s="6"/>
      <c r="F200" s="6"/>
      <c r="G200" s="4"/>
      <c r="H200" s="6"/>
      <c r="I200" s="6"/>
    </row>
    <row r="201" spans="1:9" ht="16.5">
      <c r="A201" s="4"/>
      <c r="B201" s="5"/>
      <c r="C201" s="4"/>
      <c r="D201" s="6"/>
      <c r="E201" s="6"/>
      <c r="F201" s="6"/>
      <c r="G201" s="4"/>
      <c r="H201" s="6"/>
      <c r="I201" s="6"/>
    </row>
    <row r="202" spans="1:9" ht="16.5">
      <c r="A202" s="4"/>
      <c r="B202" s="5"/>
      <c r="C202" s="4"/>
      <c r="D202" s="6"/>
      <c r="E202" s="6"/>
      <c r="F202" s="6"/>
      <c r="G202" s="4"/>
      <c r="H202" s="6"/>
      <c r="I202" s="6"/>
    </row>
    <row r="203" spans="1:9" ht="16.5">
      <c r="A203" s="4"/>
      <c r="B203" s="5"/>
      <c r="C203" s="4"/>
      <c r="D203" s="6"/>
      <c r="E203" s="6"/>
      <c r="F203" s="6"/>
      <c r="G203" s="4"/>
      <c r="H203" s="6"/>
      <c r="I203" s="6"/>
    </row>
    <row r="204" spans="1:9" ht="16.5">
      <c r="A204" s="4"/>
      <c r="B204" s="5"/>
      <c r="C204" s="4"/>
      <c r="D204" s="6"/>
      <c r="E204" s="6"/>
      <c r="F204" s="6"/>
      <c r="G204" s="4"/>
      <c r="H204" s="6"/>
      <c r="I204" s="6"/>
    </row>
    <row r="205" spans="1:9" ht="16.5">
      <c r="A205" s="4"/>
      <c r="B205" s="5"/>
      <c r="C205" s="4"/>
      <c r="D205" s="6"/>
      <c r="E205" s="6"/>
      <c r="F205" s="6"/>
      <c r="G205" s="4"/>
      <c r="H205" s="6"/>
      <c r="I205" s="6"/>
    </row>
    <row r="206" spans="1:9" ht="16.5">
      <c r="A206" s="4"/>
      <c r="B206" s="5"/>
      <c r="C206" s="4"/>
      <c r="D206" s="6"/>
      <c r="E206" s="6"/>
      <c r="F206" s="6"/>
      <c r="G206" s="4"/>
      <c r="H206" s="6"/>
      <c r="I206" s="6"/>
    </row>
    <row r="207" spans="1:9" ht="16.5">
      <c r="A207" s="4"/>
      <c r="B207" s="5"/>
      <c r="C207" s="4"/>
      <c r="D207" s="6"/>
      <c r="E207" s="6"/>
      <c r="F207" s="6"/>
      <c r="G207" s="4"/>
      <c r="H207" s="6"/>
      <c r="I207" s="6"/>
    </row>
    <row r="208" spans="1:9" ht="16.5">
      <c r="A208" s="4"/>
      <c r="B208" s="5"/>
      <c r="C208" s="4"/>
      <c r="D208" s="6"/>
      <c r="E208" s="6"/>
      <c r="F208" s="6"/>
      <c r="G208" s="4"/>
      <c r="H208" s="6"/>
      <c r="I208" s="6"/>
    </row>
    <row r="209" spans="1:9" ht="16.5">
      <c r="A209" s="4"/>
      <c r="B209" s="5"/>
      <c r="C209" s="4"/>
      <c r="D209" s="6"/>
      <c r="E209" s="6"/>
      <c r="F209" s="6"/>
      <c r="G209" s="4"/>
      <c r="H209" s="6"/>
      <c r="I209" s="6"/>
    </row>
    <row r="210" spans="1:9" ht="16.5">
      <c r="A210" s="4"/>
      <c r="B210" s="5"/>
      <c r="C210" s="4"/>
      <c r="D210" s="6"/>
      <c r="E210" s="6"/>
      <c r="F210" s="6"/>
      <c r="G210" s="4"/>
      <c r="H210" s="6"/>
      <c r="I210" s="6"/>
    </row>
    <row r="211" spans="1:9" ht="16.5">
      <c r="A211" s="4"/>
      <c r="B211" s="5"/>
      <c r="C211" s="4"/>
      <c r="D211" s="6"/>
      <c r="E211" s="6"/>
      <c r="F211" s="6"/>
      <c r="G211" s="4"/>
      <c r="H211" s="6"/>
      <c r="I211" s="6"/>
    </row>
    <row r="212" spans="1:9" ht="16.5">
      <c r="A212" s="4"/>
      <c r="B212" s="5"/>
      <c r="C212" s="4"/>
      <c r="D212" s="6"/>
      <c r="E212" s="6"/>
      <c r="F212" s="6"/>
      <c r="G212" s="4"/>
      <c r="H212" s="6"/>
      <c r="I212" s="6"/>
    </row>
    <row r="213" spans="1:9" ht="16.5">
      <c r="A213" s="4"/>
      <c r="B213" s="5"/>
      <c r="C213" s="4"/>
      <c r="D213" s="6"/>
      <c r="E213" s="6"/>
      <c r="F213" s="6"/>
      <c r="G213" s="4"/>
      <c r="H213" s="6"/>
      <c r="I213" s="6"/>
    </row>
    <row r="214" spans="1:9" ht="16.5">
      <c r="A214" s="4"/>
      <c r="B214" s="5"/>
      <c r="C214" s="4"/>
      <c r="D214" s="6"/>
      <c r="E214" s="6"/>
      <c r="F214" s="6"/>
      <c r="G214" s="4"/>
      <c r="H214" s="6"/>
      <c r="I214" s="6"/>
    </row>
    <row r="215" spans="1:9" ht="16.5">
      <c r="A215" s="4"/>
      <c r="B215" s="5"/>
      <c r="C215" s="4"/>
      <c r="D215" s="6"/>
      <c r="E215" s="6"/>
      <c r="F215" s="6"/>
      <c r="G215" s="4"/>
      <c r="H215" s="6"/>
      <c r="I215" s="6"/>
    </row>
    <row r="216" spans="1:9" ht="16.5">
      <c r="A216" s="4"/>
      <c r="B216" s="5"/>
      <c r="C216" s="4"/>
      <c r="D216" s="6"/>
      <c r="E216" s="6"/>
      <c r="F216" s="6"/>
      <c r="G216" s="4"/>
      <c r="H216" s="6"/>
      <c r="I216" s="6"/>
    </row>
    <row r="217" spans="1:9" ht="16.5">
      <c r="A217" s="4"/>
      <c r="B217" s="5"/>
      <c r="C217" s="4"/>
      <c r="D217" s="6"/>
      <c r="E217" s="6"/>
      <c r="F217" s="6"/>
      <c r="G217" s="4"/>
      <c r="H217" s="6"/>
      <c r="I217" s="6"/>
    </row>
    <row r="218" spans="1:9" ht="16.5">
      <c r="A218" s="4"/>
      <c r="B218" s="5"/>
      <c r="C218" s="4"/>
      <c r="D218" s="6"/>
      <c r="E218" s="6"/>
      <c r="F218" s="6"/>
      <c r="G218" s="4"/>
      <c r="H218" s="6"/>
      <c r="I218" s="6"/>
    </row>
    <row r="219" spans="1:9" ht="16.5">
      <c r="A219" s="4"/>
      <c r="B219" s="5"/>
      <c r="C219" s="4"/>
      <c r="D219" s="6"/>
      <c r="E219" s="6"/>
      <c r="F219" s="6"/>
      <c r="G219" s="4"/>
      <c r="H219" s="6"/>
      <c r="I219" s="6"/>
    </row>
    <row r="220" spans="1:9" ht="16.5">
      <c r="A220" s="4"/>
      <c r="B220" s="5"/>
      <c r="C220" s="4"/>
      <c r="D220" s="6"/>
      <c r="E220" s="6"/>
      <c r="F220" s="6"/>
      <c r="G220" s="4"/>
      <c r="H220" s="6"/>
      <c r="I220" s="6"/>
    </row>
    <row r="221" spans="1:9" ht="16.5">
      <c r="A221" s="4"/>
      <c r="B221" s="5"/>
      <c r="C221" s="4"/>
      <c r="D221" s="6"/>
      <c r="E221" s="6"/>
      <c r="F221" s="6"/>
      <c r="G221" s="4"/>
      <c r="H221" s="6"/>
      <c r="I221" s="6"/>
    </row>
    <row r="222" spans="1:9" ht="16.5">
      <c r="A222" s="4"/>
      <c r="B222" s="5"/>
      <c r="C222" s="4"/>
      <c r="D222" s="6"/>
      <c r="E222" s="6"/>
      <c r="F222" s="6"/>
      <c r="G222" s="4"/>
      <c r="H222" s="6"/>
      <c r="I222" s="6"/>
    </row>
    <row r="223" spans="1:9" ht="16.5">
      <c r="A223" s="4"/>
      <c r="B223" s="5"/>
      <c r="C223" s="4"/>
      <c r="D223" s="6"/>
      <c r="E223" s="6"/>
      <c r="F223" s="6"/>
      <c r="G223" s="4"/>
      <c r="H223" s="6"/>
      <c r="I223" s="6"/>
    </row>
    <row r="224" spans="1:9" ht="16.5">
      <c r="A224" s="4"/>
      <c r="B224" s="5"/>
      <c r="C224" s="4"/>
      <c r="D224" s="6"/>
      <c r="E224" s="6"/>
      <c r="F224" s="6"/>
      <c r="G224" s="4"/>
      <c r="H224" s="6"/>
      <c r="I224" s="6"/>
    </row>
    <row r="225" spans="1:9" ht="16.5">
      <c r="A225" s="4"/>
      <c r="B225" s="5"/>
      <c r="C225" s="4"/>
      <c r="D225" s="6"/>
      <c r="E225" s="6"/>
      <c r="F225" s="6"/>
      <c r="G225" s="4"/>
      <c r="H225" s="6"/>
      <c r="I225" s="6"/>
    </row>
    <row r="226" spans="1:9" ht="16.5">
      <c r="A226" s="4"/>
      <c r="B226" s="5"/>
      <c r="C226" s="4"/>
      <c r="D226" s="6"/>
      <c r="E226" s="6"/>
      <c r="F226" s="6"/>
      <c r="G226" s="4"/>
      <c r="H226" s="6"/>
      <c r="I226" s="6"/>
    </row>
    <row r="227" spans="1:9" ht="16.5">
      <c r="A227" s="4"/>
      <c r="B227" s="5"/>
      <c r="C227" s="4"/>
      <c r="D227" s="6"/>
      <c r="E227" s="6"/>
      <c r="F227" s="6"/>
      <c r="G227" s="4"/>
      <c r="H227" s="6"/>
      <c r="I227" s="6"/>
    </row>
    <row r="228" spans="1:9" ht="16.5">
      <c r="A228" s="4"/>
      <c r="B228" s="5"/>
      <c r="C228" s="4"/>
      <c r="D228" s="6"/>
      <c r="E228" s="6"/>
      <c r="F228" s="6"/>
      <c r="G228" s="4"/>
      <c r="H228" s="6"/>
      <c r="I228" s="6"/>
    </row>
    <row r="229" spans="1:9" ht="16.5">
      <c r="A229" s="4"/>
      <c r="B229" s="5"/>
      <c r="C229" s="4"/>
      <c r="D229" s="6"/>
      <c r="E229" s="6"/>
      <c r="F229" s="6"/>
      <c r="G229" s="4"/>
      <c r="H229" s="6"/>
      <c r="I229" s="6"/>
    </row>
    <row r="230" spans="1:9" ht="16.5">
      <c r="A230" s="4"/>
      <c r="B230" s="5"/>
      <c r="C230" s="4"/>
      <c r="D230" s="6"/>
      <c r="E230" s="6"/>
      <c r="F230" s="6"/>
      <c r="G230" s="4"/>
      <c r="H230" s="6"/>
      <c r="I230" s="6"/>
    </row>
    <row r="231" spans="1:9" ht="16.5">
      <c r="A231" s="4"/>
      <c r="B231" s="5"/>
      <c r="C231" s="4"/>
      <c r="D231" s="6"/>
      <c r="E231" s="6"/>
      <c r="F231" s="6"/>
      <c r="G231" s="4"/>
      <c r="H231" s="6"/>
      <c r="I231" s="6"/>
    </row>
    <row r="232" spans="1:9" ht="16.5">
      <c r="A232" s="4"/>
      <c r="B232" s="5"/>
      <c r="C232" s="4"/>
      <c r="D232" s="6"/>
      <c r="E232" s="6"/>
      <c r="F232" s="6"/>
      <c r="G232" s="4"/>
      <c r="H232" s="6"/>
      <c r="I232" s="6"/>
    </row>
    <row r="233" spans="1:9" ht="16.5">
      <c r="A233" s="4"/>
      <c r="B233" s="5"/>
      <c r="C233" s="4"/>
      <c r="D233" s="6"/>
      <c r="E233" s="6"/>
      <c r="F233" s="6"/>
      <c r="G233" s="4"/>
      <c r="H233" s="6"/>
      <c r="I233" s="6"/>
    </row>
    <row r="234" spans="1:9" ht="16.5">
      <c r="A234" s="4"/>
      <c r="B234" s="5"/>
      <c r="C234" s="4"/>
      <c r="D234" s="6"/>
      <c r="E234" s="6"/>
      <c r="F234" s="6"/>
      <c r="G234" s="4"/>
      <c r="H234" s="6"/>
      <c r="I234" s="6"/>
    </row>
    <row r="235" spans="1:9" ht="16.5">
      <c r="A235" s="4"/>
      <c r="B235" s="5"/>
      <c r="C235" s="4"/>
      <c r="D235" s="6"/>
      <c r="E235" s="6"/>
      <c r="F235" s="6"/>
      <c r="G235" s="4"/>
      <c r="H235" s="6"/>
      <c r="I235" s="6"/>
    </row>
    <row r="236" spans="1:9" ht="16.5">
      <c r="A236" s="4"/>
      <c r="B236" s="5"/>
      <c r="C236" s="4"/>
      <c r="D236" s="6"/>
      <c r="E236" s="6"/>
      <c r="F236" s="6"/>
      <c r="G236" s="4"/>
      <c r="H236" s="6"/>
      <c r="I236" s="6"/>
    </row>
    <row r="237" spans="1:9" ht="16.5">
      <c r="A237" s="4"/>
      <c r="B237" s="5"/>
      <c r="C237" s="4"/>
      <c r="D237" s="6"/>
      <c r="E237" s="6"/>
      <c r="F237" s="6"/>
      <c r="G237" s="4"/>
      <c r="H237" s="6"/>
      <c r="I237" s="6"/>
    </row>
    <row r="238" spans="1:9" ht="16.5">
      <c r="A238" s="4"/>
      <c r="B238" s="5"/>
      <c r="C238" s="4"/>
      <c r="D238" s="6"/>
      <c r="E238" s="6"/>
      <c r="F238" s="6"/>
      <c r="G238" s="4"/>
      <c r="H238" s="6"/>
      <c r="I238" s="6"/>
    </row>
    <row r="239" spans="1:9" ht="16.5">
      <c r="A239" s="4"/>
      <c r="B239" s="5"/>
      <c r="C239" s="4"/>
      <c r="D239" s="6"/>
      <c r="E239" s="6"/>
      <c r="F239" s="6"/>
      <c r="G239" s="4"/>
      <c r="H239" s="6"/>
      <c r="I239" s="6"/>
    </row>
    <row r="240" spans="1:9" ht="16.5">
      <c r="A240" s="4"/>
      <c r="B240" s="5"/>
      <c r="C240" s="4"/>
      <c r="D240" s="6"/>
      <c r="E240" s="6"/>
      <c r="F240" s="6"/>
      <c r="G240" s="4"/>
      <c r="H240" s="6"/>
      <c r="I240" s="6"/>
    </row>
    <row r="241" spans="1:9" ht="16.5">
      <c r="A241" s="4"/>
      <c r="B241" s="5"/>
      <c r="C241" s="4"/>
      <c r="D241" s="6"/>
      <c r="E241" s="6"/>
      <c r="F241" s="6"/>
      <c r="G241" s="4"/>
      <c r="H241" s="6"/>
      <c r="I241" s="6"/>
    </row>
    <row r="242" spans="1:9" ht="16.5">
      <c r="A242" s="4"/>
      <c r="B242" s="5"/>
      <c r="C242" s="4"/>
      <c r="D242" s="6"/>
      <c r="E242" s="6"/>
      <c r="F242" s="6"/>
      <c r="G242" s="4"/>
      <c r="H242" s="6"/>
      <c r="I242" s="6"/>
    </row>
    <row r="243" spans="1:9" ht="16.5">
      <c r="A243" s="4"/>
      <c r="B243" s="5"/>
      <c r="C243" s="4"/>
      <c r="D243" s="6"/>
      <c r="E243" s="6"/>
      <c r="F243" s="6"/>
      <c r="G243" s="4"/>
      <c r="H243" s="6"/>
      <c r="I243" s="6"/>
    </row>
    <row r="244" spans="1:9" ht="16.5">
      <c r="A244" s="4"/>
      <c r="B244" s="5"/>
      <c r="C244" s="4"/>
      <c r="D244" s="6"/>
      <c r="E244" s="6"/>
      <c r="F244" s="6"/>
      <c r="G244" s="4"/>
      <c r="H244" s="6"/>
      <c r="I244" s="6"/>
    </row>
    <row r="245" spans="1:9" ht="16.5">
      <c r="A245" s="4"/>
      <c r="B245" s="5"/>
      <c r="C245" s="4"/>
      <c r="D245" s="6"/>
      <c r="E245" s="6"/>
      <c r="F245" s="6"/>
      <c r="G245" s="4"/>
      <c r="H245" s="6"/>
      <c r="I245" s="6"/>
    </row>
    <row r="246" spans="1:9" ht="16.5">
      <c r="A246" s="4"/>
      <c r="B246" s="5"/>
      <c r="C246" s="4"/>
      <c r="D246" s="6"/>
      <c r="E246" s="6"/>
      <c r="F246" s="6"/>
      <c r="G246" s="4"/>
      <c r="H246" s="6"/>
      <c r="I246" s="6"/>
    </row>
    <row r="247" spans="1:9" ht="16.5">
      <c r="A247" s="4"/>
      <c r="B247" s="5"/>
      <c r="C247" s="4"/>
      <c r="D247" s="6"/>
      <c r="E247" s="6"/>
      <c r="F247" s="6"/>
      <c r="G247" s="4"/>
      <c r="H247" s="6"/>
      <c r="I247" s="6"/>
    </row>
    <row r="248" spans="1:9" ht="16.5">
      <c r="A248" s="4"/>
      <c r="B248" s="5"/>
      <c r="C248" s="4"/>
      <c r="D248" s="6"/>
      <c r="E248" s="6"/>
      <c r="F248" s="6"/>
      <c r="G248" s="4"/>
      <c r="H248" s="6"/>
      <c r="I248" s="6"/>
    </row>
    <row r="249" spans="1:9" ht="16.5">
      <c r="A249" s="4"/>
      <c r="B249" s="5"/>
      <c r="C249" s="4"/>
      <c r="D249" s="6"/>
      <c r="E249" s="6"/>
      <c r="F249" s="6"/>
      <c r="G249" s="4"/>
      <c r="H249" s="6"/>
      <c r="I249" s="6"/>
    </row>
    <row r="250" spans="1:9" ht="16.5">
      <c r="A250" s="4"/>
      <c r="B250" s="5"/>
      <c r="C250" s="4"/>
      <c r="D250" s="6"/>
      <c r="E250" s="6"/>
      <c r="F250" s="6"/>
      <c r="G250" s="4"/>
      <c r="H250" s="6"/>
      <c r="I250" s="6"/>
    </row>
    <row r="251" spans="1:9" ht="16.5">
      <c r="A251" s="4"/>
      <c r="B251" s="5"/>
      <c r="C251" s="4"/>
      <c r="D251" s="6"/>
      <c r="E251" s="6"/>
      <c r="F251" s="6"/>
      <c r="G251" s="4"/>
      <c r="H251" s="6"/>
      <c r="I251" s="6"/>
    </row>
    <row r="252" spans="1:9" ht="16.5">
      <c r="A252" s="4"/>
      <c r="B252" s="5"/>
      <c r="C252" s="4"/>
      <c r="D252" s="6"/>
      <c r="E252" s="6"/>
      <c r="F252" s="6"/>
      <c r="G252" s="4"/>
      <c r="H252" s="6"/>
      <c r="I252" s="6"/>
    </row>
    <row r="253" spans="1:9" ht="16.5">
      <c r="A253" s="4"/>
      <c r="B253" s="5"/>
      <c r="C253" s="4"/>
      <c r="D253" s="6"/>
      <c r="E253" s="6"/>
      <c r="F253" s="6"/>
      <c r="G253" s="4"/>
      <c r="H253" s="6"/>
      <c r="I253" s="6"/>
    </row>
    <row r="254" spans="1:9" ht="16.5">
      <c r="A254" s="4"/>
      <c r="B254" s="5"/>
      <c r="C254" s="4"/>
      <c r="D254" s="6"/>
      <c r="E254" s="6"/>
      <c r="F254" s="6"/>
      <c r="G254" s="4"/>
      <c r="H254" s="6"/>
      <c r="I254" s="6"/>
    </row>
    <row r="255" spans="1:9" ht="16.5">
      <c r="A255" s="4"/>
      <c r="B255" s="5"/>
      <c r="C255" s="4"/>
      <c r="D255" s="6"/>
      <c r="E255" s="6"/>
      <c r="F255" s="6"/>
      <c r="G255" s="4"/>
      <c r="H255" s="6"/>
      <c r="I255" s="6"/>
    </row>
    <row r="256" spans="1:9" ht="16.5">
      <c r="A256" s="4"/>
      <c r="B256" s="5"/>
      <c r="C256" s="4"/>
      <c r="D256" s="6"/>
      <c r="E256" s="6"/>
      <c r="F256" s="6"/>
      <c r="G256" s="4"/>
      <c r="H256" s="6"/>
      <c r="I256" s="6"/>
    </row>
    <row r="257" spans="1:9" ht="16.5">
      <c r="A257" s="4"/>
      <c r="B257" s="5"/>
      <c r="C257" s="4"/>
      <c r="D257" s="6"/>
      <c r="E257" s="6"/>
      <c r="F257" s="6"/>
      <c r="G257" s="4"/>
      <c r="H257" s="6"/>
      <c r="I257" s="6"/>
    </row>
    <row r="258" spans="1:9" ht="16.5">
      <c r="A258" s="4"/>
      <c r="B258" s="5"/>
      <c r="C258" s="4"/>
      <c r="D258" s="6"/>
      <c r="E258" s="6"/>
      <c r="F258" s="6"/>
      <c r="G258" s="4"/>
      <c r="H258" s="6"/>
      <c r="I258" s="6"/>
    </row>
    <row r="259" spans="1:9" ht="16.5">
      <c r="A259" s="4"/>
      <c r="B259" s="5"/>
      <c r="C259" s="4"/>
      <c r="D259" s="6"/>
      <c r="E259" s="6"/>
      <c r="F259" s="6"/>
      <c r="G259" s="4"/>
      <c r="H259" s="6"/>
      <c r="I259" s="6"/>
    </row>
    <row r="260" spans="1:9" ht="16.5">
      <c r="A260" s="4"/>
      <c r="B260" s="5"/>
      <c r="C260" s="4"/>
      <c r="D260" s="6"/>
      <c r="E260" s="6"/>
      <c r="F260" s="6"/>
      <c r="G260" s="4"/>
      <c r="H260" s="6"/>
      <c r="I260" s="6"/>
    </row>
    <row r="261" spans="1:9" ht="16.5">
      <c r="A261" s="4"/>
      <c r="B261" s="5"/>
      <c r="C261" s="4"/>
      <c r="D261" s="6"/>
      <c r="E261" s="6"/>
      <c r="F261" s="6"/>
      <c r="G261" s="4"/>
      <c r="H261" s="6"/>
      <c r="I261" s="6"/>
    </row>
    <row r="262" spans="1:9" ht="16.5">
      <c r="A262" s="4"/>
      <c r="B262" s="5"/>
      <c r="C262" s="4"/>
      <c r="D262" s="6"/>
      <c r="E262" s="6"/>
      <c r="F262" s="6"/>
      <c r="G262" s="4"/>
      <c r="H262" s="6"/>
      <c r="I262" s="6"/>
    </row>
    <row r="263" spans="1:9" ht="16.5">
      <c r="A263" s="4"/>
      <c r="B263" s="5"/>
      <c r="C263" s="4"/>
      <c r="D263" s="6"/>
      <c r="E263" s="6"/>
      <c r="F263" s="6"/>
      <c r="G263" s="4"/>
      <c r="H263" s="6"/>
      <c r="I263" s="6"/>
    </row>
    <row r="264" spans="1:9" ht="16.5">
      <c r="A264" s="4"/>
      <c r="B264" s="5"/>
      <c r="C264" s="4"/>
      <c r="D264" s="6"/>
      <c r="E264" s="6"/>
      <c r="F264" s="6"/>
      <c r="G264" s="4"/>
      <c r="H264" s="6"/>
      <c r="I264" s="6"/>
    </row>
    <row r="265" spans="1:9" ht="16.5">
      <c r="A265" s="4"/>
      <c r="B265" s="5"/>
      <c r="C265" s="4"/>
      <c r="D265" s="6"/>
      <c r="E265" s="6"/>
      <c r="F265" s="6"/>
      <c r="G265" s="4"/>
      <c r="H265" s="6"/>
      <c r="I265" s="6"/>
    </row>
    <row r="266" spans="1:9" ht="16.5">
      <c r="A266" s="4"/>
      <c r="B266" s="5"/>
      <c r="C266" s="4"/>
      <c r="D266" s="6"/>
      <c r="E266" s="6"/>
      <c r="F266" s="6"/>
      <c r="G266" s="4"/>
      <c r="H266" s="6"/>
      <c r="I266" s="6"/>
    </row>
    <row r="267" spans="1:9" ht="16.5">
      <c r="A267" s="4"/>
      <c r="B267" s="5"/>
      <c r="C267" s="4"/>
      <c r="D267" s="6"/>
      <c r="E267" s="6"/>
      <c r="F267" s="6"/>
      <c r="G267" s="4"/>
      <c r="H267" s="6"/>
      <c r="I267" s="6"/>
    </row>
    <row r="268" spans="1:9" ht="16.5">
      <c r="A268" s="4"/>
      <c r="B268" s="5"/>
      <c r="C268" s="4"/>
      <c r="D268" s="6"/>
      <c r="E268" s="6"/>
      <c r="F268" s="6"/>
      <c r="G268" s="4"/>
      <c r="H268" s="6"/>
      <c r="I268" s="6"/>
    </row>
    <row r="269" spans="1:9" ht="16.5">
      <c r="A269" s="4"/>
      <c r="B269" s="5"/>
      <c r="C269" s="4"/>
      <c r="D269" s="6"/>
      <c r="E269" s="6"/>
      <c r="F269" s="6"/>
      <c r="G269" s="4"/>
      <c r="H269" s="6"/>
      <c r="I269" s="6"/>
    </row>
    <row r="270" spans="1:9" ht="16.5">
      <c r="A270" s="4"/>
      <c r="B270" s="5"/>
      <c r="C270" s="4"/>
      <c r="D270" s="6"/>
      <c r="E270" s="6"/>
      <c r="F270" s="6"/>
      <c r="G270" s="4"/>
      <c r="H270" s="6"/>
      <c r="I270" s="6"/>
    </row>
    <row r="271" spans="1:9" ht="16.5">
      <c r="A271" s="4"/>
      <c r="B271" s="5"/>
      <c r="C271" s="4"/>
      <c r="D271" s="6"/>
      <c r="E271" s="6"/>
      <c r="F271" s="6"/>
      <c r="G271" s="4"/>
      <c r="H271" s="6"/>
      <c r="I271" s="6"/>
    </row>
    <row r="272" spans="1:9" ht="16.5">
      <c r="A272" s="4"/>
      <c r="B272" s="5"/>
      <c r="C272" s="4"/>
      <c r="D272" s="6"/>
      <c r="E272" s="6"/>
      <c r="F272" s="6"/>
      <c r="G272" s="4"/>
      <c r="H272" s="6"/>
      <c r="I272" s="6"/>
    </row>
    <row r="273" spans="1:9" ht="16.5">
      <c r="A273" s="4"/>
      <c r="B273" s="5"/>
      <c r="C273" s="4"/>
      <c r="D273" s="6"/>
      <c r="E273" s="6"/>
      <c r="F273" s="6"/>
      <c r="G273" s="4"/>
      <c r="H273" s="6"/>
      <c r="I273" s="6"/>
    </row>
    <row r="274" spans="1:9" ht="16.5">
      <c r="A274" s="4"/>
      <c r="B274" s="5"/>
      <c r="C274" s="4"/>
      <c r="D274" s="6"/>
      <c r="E274" s="6"/>
      <c r="F274" s="6"/>
      <c r="G274" s="4"/>
      <c r="H274" s="6"/>
      <c r="I274" s="6"/>
    </row>
  </sheetData>
  <sheetProtection/>
  <mergeCells count="2">
    <mergeCell ref="A1:I1"/>
    <mergeCell ref="A2:I2"/>
  </mergeCells>
  <printOptions/>
  <pageMargins left="0.42" right="0.34" top="0.82"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23"/>
  <sheetViews>
    <sheetView zoomScalePageLayoutView="0" workbookViewId="0" topLeftCell="A4">
      <selection activeCell="L6" sqref="L6"/>
    </sheetView>
  </sheetViews>
  <sheetFormatPr defaultColWidth="9.140625" defaultRowHeight="12.75"/>
  <cols>
    <col min="1" max="1" width="5.57421875" style="156" customWidth="1"/>
    <col min="2" max="2" width="36.8515625" style="156" customWidth="1"/>
    <col min="3" max="3" width="12.8515625" style="156" customWidth="1"/>
    <col min="4" max="4" width="13.00390625" style="156" customWidth="1"/>
    <col min="5" max="5" width="11.57421875" style="156" customWidth="1"/>
    <col min="6" max="6" width="11.140625" style="156" customWidth="1"/>
    <col min="7" max="7" width="12.00390625" style="156" customWidth="1"/>
    <col min="8" max="8" width="12.140625" style="156" customWidth="1"/>
    <col min="9" max="9" width="11.57421875" style="156" customWidth="1"/>
    <col min="10" max="10" width="14.28125" style="156" customWidth="1"/>
    <col min="11" max="16384" width="9.140625" style="156" customWidth="1"/>
  </cols>
  <sheetData>
    <row r="1" spans="1:10" ht="36.75" customHeight="1">
      <c r="A1" s="834" t="s">
        <v>329</v>
      </c>
      <c r="B1" s="834"/>
      <c r="C1" s="834"/>
      <c r="D1" s="834"/>
      <c r="E1" s="834"/>
      <c r="F1" s="834"/>
      <c r="G1" s="834"/>
      <c r="H1" s="834"/>
      <c r="I1" s="834"/>
      <c r="J1" s="834"/>
    </row>
    <row r="2" spans="1:10" ht="21" customHeight="1">
      <c r="A2" s="835" t="s">
        <v>306</v>
      </c>
      <c r="B2" s="835"/>
      <c r="C2" s="835"/>
      <c r="D2" s="835"/>
      <c r="E2" s="835"/>
      <c r="F2" s="835"/>
      <c r="G2" s="835"/>
      <c r="H2" s="835"/>
      <c r="I2" s="835"/>
      <c r="J2" s="835"/>
    </row>
    <row r="3" ht="12.75">
      <c r="I3" s="157" t="s">
        <v>16</v>
      </c>
    </row>
    <row r="4" spans="1:10" ht="21" customHeight="1">
      <c r="A4" s="836" t="s">
        <v>0</v>
      </c>
      <c r="B4" s="837" t="s">
        <v>330</v>
      </c>
      <c r="C4" s="838" t="s">
        <v>331</v>
      </c>
      <c r="D4" s="839"/>
      <c r="E4" s="838" t="s">
        <v>332</v>
      </c>
      <c r="F4" s="840"/>
      <c r="G4" s="840"/>
      <c r="H4" s="840"/>
      <c r="I4" s="840"/>
      <c r="J4" s="839"/>
    </row>
    <row r="5" spans="1:10" ht="36.75" customHeight="1">
      <c r="A5" s="836"/>
      <c r="B5" s="837"/>
      <c r="C5" s="158" t="s">
        <v>333</v>
      </c>
      <c r="D5" s="158" t="s">
        <v>334</v>
      </c>
      <c r="E5" s="22" t="s">
        <v>3</v>
      </c>
      <c r="F5" s="22" t="s">
        <v>4</v>
      </c>
      <c r="G5" s="22" t="s">
        <v>5</v>
      </c>
      <c r="H5" s="22" t="s">
        <v>6</v>
      </c>
      <c r="I5" s="22" t="s">
        <v>7</v>
      </c>
      <c r="J5" s="22" t="s">
        <v>335</v>
      </c>
    </row>
    <row r="6" spans="1:10" ht="37.5" customHeight="1">
      <c r="A6" s="159" t="s">
        <v>9</v>
      </c>
      <c r="B6" s="160" t="s">
        <v>328</v>
      </c>
      <c r="C6" s="161">
        <f>C7+C8</f>
        <v>9980</v>
      </c>
      <c r="D6" s="161">
        <f aca="true" t="shared" si="0" ref="D6:J6">D7+D8</f>
        <v>14014</v>
      </c>
      <c r="E6" s="161">
        <f t="shared" si="0"/>
        <v>3385</v>
      </c>
      <c r="F6" s="161">
        <f t="shared" si="0"/>
        <v>3385</v>
      </c>
      <c r="G6" s="161">
        <f t="shared" si="0"/>
        <v>3385</v>
      </c>
      <c r="H6" s="161">
        <f t="shared" si="0"/>
        <v>4200</v>
      </c>
      <c r="I6" s="161">
        <f t="shared" si="0"/>
        <v>3385</v>
      </c>
      <c r="J6" s="161">
        <f t="shared" si="0"/>
        <v>17740</v>
      </c>
    </row>
    <row r="7" spans="1:10" ht="20.25" customHeight="1">
      <c r="A7" s="162">
        <v>1</v>
      </c>
      <c r="B7" s="163" t="s">
        <v>336</v>
      </c>
      <c r="C7" s="164">
        <v>9980</v>
      </c>
      <c r="D7" s="164">
        <v>14014</v>
      </c>
      <c r="E7" s="164">
        <v>3385</v>
      </c>
      <c r="F7" s="164">
        <v>3385</v>
      </c>
      <c r="G7" s="164">
        <v>3385</v>
      </c>
      <c r="H7" s="164">
        <v>4200</v>
      </c>
      <c r="I7" s="164">
        <v>3385</v>
      </c>
      <c r="J7" s="164">
        <f>SUM(E7:I7)</f>
        <v>17740</v>
      </c>
    </row>
    <row r="8" spans="1:10" ht="15.75">
      <c r="A8" s="162">
        <v>2</v>
      </c>
      <c r="B8" s="163" t="s">
        <v>337</v>
      </c>
      <c r="C8" s="164"/>
      <c r="D8" s="164"/>
      <c r="E8" s="164"/>
      <c r="F8" s="164"/>
      <c r="G8" s="164"/>
      <c r="H8" s="164"/>
      <c r="I8" s="164"/>
      <c r="J8" s="164"/>
    </row>
    <row r="9" spans="1:13" ht="15.75">
      <c r="A9" s="159" t="s">
        <v>10</v>
      </c>
      <c r="B9" s="165" t="s">
        <v>338</v>
      </c>
      <c r="C9" s="174">
        <f>C10+C13+C19+C20</f>
        <v>674374.3903999999</v>
      </c>
      <c r="D9" s="174">
        <f aca="true" t="shared" si="1" ref="D9:I9">D10+D13+D19+D20</f>
        <v>674128.4807999999</v>
      </c>
      <c r="E9" s="174">
        <f>E10+E13+E19+E20</f>
        <v>400180</v>
      </c>
      <c r="F9" s="174">
        <f t="shared" si="1"/>
        <v>406579</v>
      </c>
      <c r="G9" s="174">
        <f t="shared" si="1"/>
        <v>530330</v>
      </c>
      <c r="H9" s="174">
        <f t="shared" si="1"/>
        <v>604330</v>
      </c>
      <c r="I9" s="174">
        <f t="shared" si="1"/>
        <v>498330</v>
      </c>
      <c r="J9" s="174">
        <f>J10+J13+J19+J20</f>
        <v>2439749</v>
      </c>
      <c r="M9" s="178"/>
    </row>
    <row r="10" spans="1:13" ht="15.75">
      <c r="A10" s="159" t="s">
        <v>19</v>
      </c>
      <c r="B10" s="165" t="s">
        <v>12</v>
      </c>
      <c r="C10" s="164">
        <f aca="true" t="shared" si="2" ref="C10:I10">SUM(C11:C12)</f>
        <v>279308.3904</v>
      </c>
      <c r="D10" s="164">
        <f t="shared" si="2"/>
        <v>279308.3904</v>
      </c>
      <c r="E10" s="164">
        <f t="shared" si="2"/>
        <v>305280</v>
      </c>
      <c r="F10" s="164">
        <f t="shared" si="2"/>
        <v>310679</v>
      </c>
      <c r="G10" s="164">
        <f t="shared" si="2"/>
        <v>431330</v>
      </c>
      <c r="H10" s="164">
        <f t="shared" si="2"/>
        <v>490330</v>
      </c>
      <c r="I10" s="164">
        <f t="shared" si="2"/>
        <v>391330</v>
      </c>
      <c r="J10" s="164">
        <f>SUM(E10:I10)</f>
        <v>1928949</v>
      </c>
      <c r="L10" s="172"/>
      <c r="M10" s="178"/>
    </row>
    <row r="11" spans="1:10" ht="18.75" customHeight="1">
      <c r="A11" s="166">
        <v>1</v>
      </c>
      <c r="B11" s="163" t="s">
        <v>339</v>
      </c>
      <c r="C11" s="164"/>
      <c r="D11" s="164">
        <v>0</v>
      </c>
      <c r="E11" s="164">
        <v>234280</v>
      </c>
      <c r="F11" s="164">
        <v>302330</v>
      </c>
      <c r="G11" s="164">
        <v>431330</v>
      </c>
      <c r="H11" s="164">
        <v>490330</v>
      </c>
      <c r="I11" s="164">
        <v>391330</v>
      </c>
      <c r="J11" s="164">
        <f>SUM(E11:I11)</f>
        <v>1849600</v>
      </c>
    </row>
    <row r="12" spans="1:10" ht="21.75" customHeight="1">
      <c r="A12" s="166">
        <v>2</v>
      </c>
      <c r="B12" s="163" t="s">
        <v>340</v>
      </c>
      <c r="C12" s="164">
        <v>279308.3904</v>
      </c>
      <c r="D12" s="164">
        <f>C12</f>
        <v>279308.3904</v>
      </c>
      <c r="E12" s="164">
        <v>71000</v>
      </c>
      <c r="F12" s="164">
        <v>8349</v>
      </c>
      <c r="G12" s="164"/>
      <c r="H12" s="164"/>
      <c r="I12" s="164"/>
      <c r="J12" s="164">
        <f>SUM(E12:I12)</f>
        <v>79349</v>
      </c>
    </row>
    <row r="13" spans="1:11" ht="34.5" customHeight="1">
      <c r="A13" s="159" t="s">
        <v>20</v>
      </c>
      <c r="B13" s="159" t="s">
        <v>341</v>
      </c>
      <c r="C13" s="164">
        <f>SUM(C14:C18)</f>
        <v>221646</v>
      </c>
      <c r="D13" s="164">
        <f aca="true" t="shared" si="3" ref="D13:J13">SUM(D14:D18)</f>
        <v>221646</v>
      </c>
      <c r="E13" s="164">
        <f>SUM(E14:E18)</f>
        <v>46700</v>
      </c>
      <c r="F13" s="164">
        <f t="shared" si="3"/>
        <v>46700</v>
      </c>
      <c r="G13" s="164">
        <f t="shared" si="3"/>
        <v>49300</v>
      </c>
      <c r="H13" s="164">
        <f t="shared" si="3"/>
        <v>63800</v>
      </c>
      <c r="I13" s="164">
        <f t="shared" si="3"/>
        <v>55800</v>
      </c>
      <c r="J13" s="164">
        <f t="shared" si="3"/>
        <v>262300</v>
      </c>
      <c r="K13" s="172"/>
    </row>
    <row r="14" spans="1:10" ht="15.75">
      <c r="A14" s="167">
        <v>1</v>
      </c>
      <c r="B14" s="163" t="s">
        <v>342</v>
      </c>
      <c r="C14" s="164">
        <v>167000</v>
      </c>
      <c r="D14" s="164">
        <v>167000</v>
      </c>
      <c r="E14" s="164">
        <v>36200</v>
      </c>
      <c r="F14" s="164">
        <v>36200</v>
      </c>
      <c r="G14" s="164">
        <v>37000</v>
      </c>
      <c r="H14" s="164">
        <v>49500</v>
      </c>
      <c r="I14" s="164">
        <v>43500</v>
      </c>
      <c r="J14" s="164">
        <f aca="true" t="shared" si="4" ref="J14:J20">SUM(E14:I14)</f>
        <v>202400</v>
      </c>
    </row>
    <row r="15" spans="1:10" ht="15.75">
      <c r="A15" s="167">
        <v>2</v>
      </c>
      <c r="B15" s="163" t="s">
        <v>343</v>
      </c>
      <c r="C15" s="164">
        <v>850</v>
      </c>
      <c r="D15" s="164">
        <v>850</v>
      </c>
      <c r="E15" s="164">
        <v>300</v>
      </c>
      <c r="F15" s="164">
        <v>300</v>
      </c>
      <c r="G15" s="164">
        <v>300</v>
      </c>
      <c r="H15" s="164">
        <v>300</v>
      </c>
      <c r="I15" s="164">
        <v>300</v>
      </c>
      <c r="J15" s="164">
        <f t="shared" si="4"/>
        <v>1500</v>
      </c>
    </row>
    <row r="16" spans="1:10" ht="15.75">
      <c r="A16" s="167">
        <v>3</v>
      </c>
      <c r="B16" s="163" t="s">
        <v>344</v>
      </c>
      <c r="C16" s="164">
        <v>45352</v>
      </c>
      <c r="D16" s="164">
        <v>45352</v>
      </c>
      <c r="E16" s="164">
        <v>8000</v>
      </c>
      <c r="F16" s="164">
        <v>8000</v>
      </c>
      <c r="G16" s="164">
        <v>9500</v>
      </c>
      <c r="H16" s="164">
        <v>11000</v>
      </c>
      <c r="I16" s="164">
        <v>9000</v>
      </c>
      <c r="J16" s="164">
        <f t="shared" si="4"/>
        <v>45500</v>
      </c>
    </row>
    <row r="17" spans="1:10" ht="20.25" customHeight="1">
      <c r="A17" s="167">
        <v>4</v>
      </c>
      <c r="B17" s="163" t="s">
        <v>345</v>
      </c>
      <c r="C17" s="164">
        <v>8444</v>
      </c>
      <c r="D17" s="164">
        <v>8444</v>
      </c>
      <c r="E17" s="164">
        <v>2200</v>
      </c>
      <c r="F17" s="164">
        <v>2200</v>
      </c>
      <c r="G17" s="164">
        <v>2500</v>
      </c>
      <c r="H17" s="164">
        <v>3000</v>
      </c>
      <c r="I17" s="164">
        <v>3000</v>
      </c>
      <c r="J17" s="164">
        <f t="shared" si="4"/>
        <v>12900</v>
      </c>
    </row>
    <row r="18" spans="1:10" ht="18.75" customHeight="1">
      <c r="A18" s="167">
        <v>5</v>
      </c>
      <c r="B18" s="163" t="s">
        <v>346</v>
      </c>
      <c r="C18" s="164"/>
      <c r="D18" s="164"/>
      <c r="E18" s="164"/>
      <c r="F18" s="164"/>
      <c r="G18" s="164"/>
      <c r="H18" s="164"/>
      <c r="I18" s="164"/>
      <c r="J18" s="164">
        <f t="shared" si="4"/>
        <v>0</v>
      </c>
    </row>
    <row r="19" spans="1:10" ht="36" customHeight="1">
      <c r="A19" s="159" t="s">
        <v>113</v>
      </c>
      <c r="B19" s="159" t="s">
        <v>347</v>
      </c>
      <c r="C19" s="164">
        <f>17657+15000+22000+23058+26664</f>
        <v>104379</v>
      </c>
      <c r="D19" s="164">
        <f>17657+15000+22000+23058+26664</f>
        <v>104379</v>
      </c>
      <c r="E19" s="164">
        <v>21000</v>
      </c>
      <c r="F19" s="164">
        <v>22000</v>
      </c>
      <c r="G19" s="164">
        <v>22500</v>
      </c>
      <c r="H19" s="164">
        <v>23000</v>
      </c>
      <c r="I19" s="164">
        <v>24000</v>
      </c>
      <c r="J19" s="164">
        <f>SUM(E19:I19)</f>
        <v>112500</v>
      </c>
    </row>
    <row r="20" spans="1:10" ht="15.75">
      <c r="A20" s="159" t="s">
        <v>114</v>
      </c>
      <c r="B20" s="159" t="s">
        <v>348</v>
      </c>
      <c r="C20" s="168">
        <v>69041</v>
      </c>
      <c r="D20" s="173">
        <v>68795.0904</v>
      </c>
      <c r="E20" s="168">
        <v>27200</v>
      </c>
      <c r="F20" s="168">
        <v>27200</v>
      </c>
      <c r="G20" s="168">
        <v>27200</v>
      </c>
      <c r="H20" s="168">
        <v>27200</v>
      </c>
      <c r="I20" s="168">
        <v>27200</v>
      </c>
      <c r="J20" s="164">
        <f t="shared" si="4"/>
        <v>136000</v>
      </c>
    </row>
    <row r="21" spans="1:10" ht="15.75">
      <c r="A21" s="169"/>
      <c r="B21" s="170"/>
      <c r="C21" s="171"/>
      <c r="D21" s="171"/>
      <c r="E21" s="171"/>
      <c r="F21" s="171"/>
      <c r="G21" s="171"/>
      <c r="H21" s="171"/>
      <c r="I21" s="171"/>
      <c r="J21" s="171"/>
    </row>
    <row r="22" ht="12.75">
      <c r="J22" s="178"/>
    </row>
    <row r="23" ht="12.75">
      <c r="I23" s="172"/>
    </row>
  </sheetData>
  <sheetProtection/>
  <mergeCells count="6">
    <mergeCell ref="A1:J1"/>
    <mergeCell ref="A2:J2"/>
    <mergeCell ref="A4:A5"/>
    <mergeCell ref="B4:B5"/>
    <mergeCell ref="C4:D4"/>
    <mergeCell ref="E4:J4"/>
  </mergeCells>
  <printOptions/>
  <pageMargins left="0.43" right="0.3"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M941"/>
  <sheetViews>
    <sheetView zoomScalePageLayoutView="0" workbookViewId="0" topLeftCell="A1">
      <selection activeCell="AQ8" sqref="AQ8"/>
    </sheetView>
  </sheetViews>
  <sheetFormatPr defaultColWidth="9.140625" defaultRowHeight="12.75"/>
  <cols>
    <col min="1" max="1" width="4.421875" style="266" customWidth="1"/>
    <col min="2" max="2" width="20.57421875" style="267" customWidth="1"/>
    <col min="3" max="3" width="7.7109375" style="268" customWidth="1"/>
    <col min="4" max="4" width="4.8515625" style="268" customWidth="1"/>
    <col min="5" max="5" width="6.28125" style="268" customWidth="1"/>
    <col min="6" max="6" width="10.28125" style="268" customWidth="1"/>
    <col min="7" max="7" width="11.57421875" style="269" customWidth="1"/>
    <col min="8" max="8" width="10.00390625" style="266" customWidth="1"/>
    <col min="9" max="9" width="9.140625" style="269" customWidth="1"/>
    <col min="10" max="10" width="7.7109375" style="269" customWidth="1"/>
    <col min="11" max="11" width="9.00390625" style="269" customWidth="1"/>
    <col min="12" max="12" width="7.7109375" style="269" customWidth="1"/>
    <col min="13" max="13" width="8.140625" style="269" customWidth="1"/>
    <col min="14" max="14" width="10.57421875" style="269" hidden="1" customWidth="1"/>
    <col min="15" max="15" width="10.8515625" style="269" hidden="1" customWidth="1"/>
    <col min="16" max="16" width="9.00390625" style="269" hidden="1" customWidth="1"/>
    <col min="17" max="17" width="9.140625" style="269" customWidth="1"/>
    <col min="18" max="18" width="11.8515625" style="269" hidden="1" customWidth="1"/>
    <col min="19" max="20" width="10.00390625" style="269" hidden="1" customWidth="1"/>
    <col min="21" max="21" width="10.57421875" style="271" hidden="1" customWidth="1"/>
    <col min="22" max="22" width="9.8515625" style="271" hidden="1" customWidth="1"/>
    <col min="23" max="23" width="10.00390625" style="271" hidden="1" customWidth="1"/>
    <col min="24" max="24" width="10.57421875" style="270" hidden="1" customWidth="1"/>
    <col min="25" max="25" width="11.140625" style="270" hidden="1" customWidth="1"/>
    <col min="26" max="26" width="9.8515625" style="269" hidden="1" customWidth="1"/>
    <col min="27" max="27" width="11.28125" style="269" hidden="1" customWidth="1"/>
    <col min="28" max="28" width="12.8515625" style="269" hidden="1" customWidth="1"/>
    <col min="29" max="29" width="13.8515625" style="269" hidden="1" customWidth="1"/>
    <col min="30" max="30" width="9.7109375" style="181" hidden="1" customWidth="1"/>
    <col min="31" max="31" width="12.421875" style="181" hidden="1" customWidth="1"/>
    <col min="32" max="32" width="0" style="181" hidden="1" customWidth="1"/>
    <col min="33" max="33" width="11.00390625" style="181" hidden="1" customWidth="1"/>
    <col min="34" max="35" width="10.28125" style="181" hidden="1" customWidth="1"/>
    <col min="36" max="36" width="8.7109375" style="181" hidden="1" customWidth="1"/>
    <col min="37" max="37" width="9.57421875" style="181" hidden="1" customWidth="1"/>
    <col min="38" max="38" width="10.421875" style="181" hidden="1" customWidth="1"/>
    <col min="39" max="39" width="11.421875" style="181" hidden="1" customWidth="1"/>
    <col min="40" max="40" width="11.57421875" style="181" hidden="1" customWidth="1"/>
    <col min="41" max="41" width="9.140625" style="181" hidden="1" customWidth="1"/>
    <col min="42" max="42" width="11.8515625" style="181" hidden="1" customWidth="1"/>
    <col min="43" max="43" width="9.140625" style="186" customWidth="1"/>
    <col min="44" max="44" width="7.57421875" style="186" customWidth="1"/>
    <col min="45" max="103" width="9.140625" style="182" customWidth="1"/>
    <col min="104" max="117" width="9.140625" style="183" customWidth="1"/>
    <col min="118" max="16384" width="9.140625" style="184" customWidth="1"/>
  </cols>
  <sheetData>
    <row r="1" spans="1:44" ht="24.75" customHeight="1">
      <c r="A1" s="852" t="s">
        <v>523</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180"/>
      <c r="AQ1" s="180"/>
      <c r="AR1" s="181"/>
    </row>
    <row r="2" spans="1:43" ht="20.25" customHeight="1">
      <c r="A2" s="853" t="s">
        <v>519</v>
      </c>
      <c r="B2" s="853"/>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3"/>
      <c r="AI2" s="853"/>
      <c r="AJ2" s="853"/>
      <c r="AK2" s="853"/>
      <c r="AL2" s="853"/>
      <c r="AM2" s="853"/>
      <c r="AN2" s="853"/>
      <c r="AO2" s="853"/>
      <c r="AP2" s="185"/>
      <c r="AQ2" s="185"/>
    </row>
    <row r="3" spans="1:117" s="193" customFormat="1" ht="8.25" customHeight="1">
      <c r="A3" s="187"/>
      <c r="B3" s="187"/>
      <c r="C3" s="188"/>
      <c r="D3" s="187"/>
      <c r="E3" s="187"/>
      <c r="F3" s="187"/>
      <c r="G3" s="187"/>
      <c r="H3" s="188"/>
      <c r="I3" s="187"/>
      <c r="J3" s="187"/>
      <c r="K3" s="187"/>
      <c r="L3" s="187"/>
      <c r="M3" s="187"/>
      <c r="N3" s="187"/>
      <c r="O3" s="187"/>
      <c r="P3" s="187"/>
      <c r="Q3" s="187"/>
      <c r="R3" s="187"/>
      <c r="S3" s="187"/>
      <c r="T3" s="187"/>
      <c r="U3" s="187"/>
      <c r="V3" s="187"/>
      <c r="W3" s="187"/>
      <c r="X3" s="189"/>
      <c r="Y3" s="189"/>
      <c r="Z3" s="187"/>
      <c r="AA3" s="187"/>
      <c r="AB3" s="854"/>
      <c r="AC3" s="854"/>
      <c r="AD3" s="190"/>
      <c r="AE3" s="190"/>
      <c r="AF3" s="190"/>
      <c r="AG3" s="190"/>
      <c r="AH3" s="190"/>
      <c r="AI3" s="190"/>
      <c r="AJ3" s="190"/>
      <c r="AK3" s="190"/>
      <c r="AL3" s="190"/>
      <c r="AM3" s="190"/>
      <c r="AN3" s="190"/>
      <c r="AO3" s="855" t="s">
        <v>16</v>
      </c>
      <c r="AP3" s="855"/>
      <c r="AQ3" s="264"/>
      <c r="AR3" s="190"/>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2"/>
      <c r="DA3" s="192"/>
      <c r="DB3" s="192"/>
      <c r="DC3" s="192"/>
      <c r="DD3" s="192"/>
      <c r="DE3" s="192"/>
      <c r="DF3" s="192"/>
      <c r="DG3" s="192"/>
      <c r="DH3" s="192"/>
      <c r="DI3" s="192"/>
      <c r="DJ3" s="192"/>
      <c r="DK3" s="192"/>
      <c r="DL3" s="192"/>
      <c r="DM3" s="192"/>
    </row>
    <row r="4" spans="1:117" s="196" customFormat="1" ht="37.5" customHeight="1">
      <c r="A4" s="849" t="s">
        <v>349</v>
      </c>
      <c r="B4" s="849" t="s">
        <v>350</v>
      </c>
      <c r="C4" s="849" t="s">
        <v>351</v>
      </c>
      <c r="D4" s="856" t="s">
        <v>352</v>
      </c>
      <c r="E4" s="849" t="s">
        <v>353</v>
      </c>
      <c r="F4" s="845" t="s">
        <v>354</v>
      </c>
      <c r="G4" s="846"/>
      <c r="H4" s="845" t="s">
        <v>355</v>
      </c>
      <c r="I4" s="846"/>
      <c r="J4" s="841" t="s">
        <v>517</v>
      </c>
      <c r="K4" s="851"/>
      <c r="L4" s="851"/>
      <c r="M4" s="842"/>
      <c r="N4" s="843" t="s">
        <v>356</v>
      </c>
      <c r="O4" s="844"/>
      <c r="P4" s="845" t="s">
        <v>516</v>
      </c>
      <c r="Q4" s="846"/>
      <c r="R4" s="841" t="s">
        <v>358</v>
      </c>
      <c r="S4" s="842"/>
      <c r="T4" s="841" t="s">
        <v>359</v>
      </c>
      <c r="U4" s="842"/>
      <c r="V4" s="841" t="s">
        <v>360</v>
      </c>
      <c r="W4" s="842"/>
      <c r="X4" s="841" t="s">
        <v>361</v>
      </c>
      <c r="Y4" s="842"/>
      <c r="Z4" s="841" t="s">
        <v>362</v>
      </c>
      <c r="AA4" s="842"/>
      <c r="AB4" s="841" t="s">
        <v>363</v>
      </c>
      <c r="AC4" s="842"/>
      <c r="AD4" s="841" t="s">
        <v>357</v>
      </c>
      <c r="AE4" s="842"/>
      <c r="AF4" s="841" t="s">
        <v>364</v>
      </c>
      <c r="AG4" s="842"/>
      <c r="AH4" s="841" t="s">
        <v>365</v>
      </c>
      <c r="AI4" s="842"/>
      <c r="AJ4" s="841" t="s">
        <v>366</v>
      </c>
      <c r="AK4" s="842"/>
      <c r="AL4" s="841" t="s">
        <v>367</v>
      </c>
      <c r="AM4" s="842"/>
      <c r="AN4" s="841" t="s">
        <v>368</v>
      </c>
      <c r="AO4" s="842"/>
      <c r="AP4" s="845" t="s">
        <v>518</v>
      </c>
      <c r="AQ4" s="846"/>
      <c r="AR4" s="850" t="s">
        <v>369</v>
      </c>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5"/>
      <c r="DA4" s="195"/>
      <c r="DB4" s="195"/>
      <c r="DC4" s="195"/>
      <c r="DD4" s="195"/>
      <c r="DE4" s="195"/>
      <c r="DF4" s="195"/>
      <c r="DG4" s="195"/>
      <c r="DH4" s="195"/>
      <c r="DI4" s="195"/>
      <c r="DJ4" s="195"/>
      <c r="DK4" s="195"/>
      <c r="DL4" s="195"/>
      <c r="DM4" s="195"/>
    </row>
    <row r="5" spans="1:117" s="198" customFormat="1" ht="47.25" customHeight="1">
      <c r="A5" s="849"/>
      <c r="B5" s="849"/>
      <c r="C5" s="849"/>
      <c r="D5" s="857"/>
      <c r="E5" s="849"/>
      <c r="F5" s="318" t="s">
        <v>370</v>
      </c>
      <c r="G5" s="318" t="s">
        <v>371</v>
      </c>
      <c r="H5" s="318" t="s">
        <v>370</v>
      </c>
      <c r="I5" s="318" t="s">
        <v>371</v>
      </c>
      <c r="J5" s="318">
        <v>2011</v>
      </c>
      <c r="K5" s="318">
        <v>2012</v>
      </c>
      <c r="L5" s="318">
        <v>2013</v>
      </c>
      <c r="M5" s="318">
        <v>2014</v>
      </c>
      <c r="N5" s="318" t="s">
        <v>372</v>
      </c>
      <c r="O5" s="318" t="s">
        <v>373</v>
      </c>
      <c r="P5" s="847"/>
      <c r="Q5" s="848"/>
      <c r="R5" s="318" t="s">
        <v>375</v>
      </c>
      <c r="S5" s="318" t="s">
        <v>376</v>
      </c>
      <c r="T5" s="318" t="s">
        <v>375</v>
      </c>
      <c r="U5" s="318" t="s">
        <v>376</v>
      </c>
      <c r="V5" s="318" t="s">
        <v>375</v>
      </c>
      <c r="W5" s="318" t="s">
        <v>376</v>
      </c>
      <c r="X5" s="318" t="s">
        <v>372</v>
      </c>
      <c r="Y5" s="318" t="s">
        <v>373</v>
      </c>
      <c r="Z5" s="318" t="s">
        <v>375</v>
      </c>
      <c r="AA5" s="318" t="s">
        <v>376</v>
      </c>
      <c r="AB5" s="318" t="s">
        <v>372</v>
      </c>
      <c r="AC5" s="318" t="s">
        <v>373</v>
      </c>
      <c r="AD5" s="319" t="s">
        <v>377</v>
      </c>
      <c r="AE5" s="320" t="s">
        <v>374</v>
      </c>
      <c r="AF5" s="318" t="s">
        <v>375</v>
      </c>
      <c r="AG5" s="318" t="s">
        <v>376</v>
      </c>
      <c r="AH5" s="318" t="s">
        <v>375</v>
      </c>
      <c r="AI5" s="318" t="s">
        <v>376</v>
      </c>
      <c r="AJ5" s="318" t="s">
        <v>375</v>
      </c>
      <c r="AK5" s="318" t="s">
        <v>376</v>
      </c>
      <c r="AL5" s="318" t="s">
        <v>372</v>
      </c>
      <c r="AM5" s="318" t="s">
        <v>373</v>
      </c>
      <c r="AN5" s="318" t="s">
        <v>375</v>
      </c>
      <c r="AO5" s="318" t="s">
        <v>376</v>
      </c>
      <c r="AP5" s="847"/>
      <c r="AQ5" s="848"/>
      <c r="AR5" s="850"/>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row>
    <row r="6" spans="1:117" s="200" customFormat="1" ht="17.25" customHeight="1">
      <c r="A6" s="321"/>
      <c r="B6" s="322" t="s">
        <v>378</v>
      </c>
      <c r="C6" s="323"/>
      <c r="D6" s="323"/>
      <c r="E6" s="323"/>
      <c r="F6" s="323"/>
      <c r="G6" s="324">
        <f>G7+G92+G174</f>
        <v>203102.86205921625</v>
      </c>
      <c r="H6" s="324"/>
      <c r="I6" s="324">
        <f>I7+I92+I174</f>
        <v>210530.679075</v>
      </c>
      <c r="J6" s="324"/>
      <c r="K6" s="324"/>
      <c r="L6" s="324"/>
      <c r="M6" s="324"/>
      <c r="N6" s="324">
        <f aca="true" t="shared" si="0" ref="N6:AQ6">N7+N92+N174</f>
        <v>127391.281949</v>
      </c>
      <c r="O6" s="324">
        <f t="shared" si="0"/>
        <v>126003.64138100002</v>
      </c>
      <c r="P6" s="324">
        <f t="shared" si="0"/>
        <v>36130</v>
      </c>
      <c r="Q6" s="324">
        <f>Q7+Q92+Q174</f>
        <v>108889.93467821623</v>
      </c>
      <c r="R6" s="324">
        <f t="shared" si="0"/>
        <v>3301.9589189999997</v>
      </c>
      <c r="S6" s="325">
        <f t="shared" si="0"/>
        <v>3000.000586</v>
      </c>
      <c r="T6" s="324">
        <f t="shared" si="0"/>
        <v>3178.9595</v>
      </c>
      <c r="U6" s="324">
        <f t="shared" si="0"/>
        <v>2992</v>
      </c>
      <c r="V6" s="324">
        <f t="shared" si="0"/>
        <v>8238.496</v>
      </c>
      <c r="W6" s="324">
        <f t="shared" si="0"/>
        <v>12249.823400000001</v>
      </c>
      <c r="X6" s="326">
        <f t="shared" si="0"/>
        <v>27816.668852</v>
      </c>
      <c r="Y6" s="326">
        <f t="shared" si="0"/>
        <v>28927.3594</v>
      </c>
      <c r="Z6" s="324">
        <f t="shared" si="0"/>
        <v>37102.409271</v>
      </c>
      <c r="AA6" s="324">
        <f t="shared" si="0"/>
        <v>41037.711586000005</v>
      </c>
      <c r="AB6" s="324">
        <f t="shared" si="0"/>
        <v>168356.772851</v>
      </c>
      <c r="AC6" s="324">
        <f t="shared" si="0"/>
        <v>163743.64796700003</v>
      </c>
      <c r="AD6" s="327">
        <f t="shared" si="0"/>
        <v>9300</v>
      </c>
      <c r="AE6" s="328">
        <f t="shared" si="0"/>
        <v>101628.885586</v>
      </c>
      <c r="AF6" s="328">
        <f t="shared" si="0"/>
        <v>32694.797742350005</v>
      </c>
      <c r="AG6" s="328">
        <f t="shared" si="0"/>
        <v>10295.345000000001</v>
      </c>
      <c r="AH6" s="328">
        <f t="shared" si="0"/>
        <v>7970.983876526826</v>
      </c>
      <c r="AI6" s="327">
        <f t="shared" si="0"/>
        <v>4609.4800000000005</v>
      </c>
      <c r="AJ6" s="328">
        <f t="shared" si="0"/>
        <v>0</v>
      </c>
      <c r="AK6" s="328">
        <f t="shared" si="0"/>
        <v>973.005</v>
      </c>
      <c r="AL6" s="328">
        <f t="shared" si="0"/>
        <v>0</v>
      </c>
      <c r="AM6" s="328">
        <f t="shared" si="0"/>
        <v>0</v>
      </c>
      <c r="AN6" s="328">
        <f t="shared" si="0"/>
        <v>40579.76823227683</v>
      </c>
      <c r="AO6" s="328">
        <f t="shared" si="0"/>
        <v>15439.546999999999</v>
      </c>
      <c r="AP6" s="328">
        <f t="shared" si="0"/>
        <v>208936.5410832768</v>
      </c>
      <c r="AQ6" s="329">
        <f t="shared" si="0"/>
        <v>108156.79926421623</v>
      </c>
      <c r="AR6" s="328">
        <f>Q6-AQ6</f>
        <v>733.135414000004</v>
      </c>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row>
    <row r="7" spans="1:44" s="201" customFormat="1" ht="27" customHeight="1">
      <c r="A7" s="330" t="s">
        <v>9</v>
      </c>
      <c r="B7" s="331" t="s">
        <v>379</v>
      </c>
      <c r="C7" s="332"/>
      <c r="D7" s="332"/>
      <c r="E7" s="332"/>
      <c r="F7" s="332"/>
      <c r="G7" s="333">
        <f>G8+G25+G30+G34+G47+G55+G61+G67+G73+G80+G86</f>
        <v>128655.27558421623</v>
      </c>
      <c r="H7" s="333"/>
      <c r="I7" s="333">
        <f aca="true" t="shared" si="1" ref="I7:AQ7">I8+I25+I30+I34+I47+I55+I61+I67+I73+I80+I86</f>
        <v>194585.34307499998</v>
      </c>
      <c r="J7" s="333">
        <f t="shared" si="1"/>
        <v>11860</v>
      </c>
      <c r="K7" s="333">
        <f t="shared" si="1"/>
        <v>17000</v>
      </c>
      <c r="L7" s="333">
        <f t="shared" si="1"/>
        <v>29540</v>
      </c>
      <c r="M7" s="333">
        <f t="shared" si="1"/>
        <v>8600</v>
      </c>
      <c r="N7" s="333">
        <f t="shared" si="1"/>
        <v>116483.115949</v>
      </c>
      <c r="O7" s="333">
        <f t="shared" si="1"/>
        <v>116974.76238100002</v>
      </c>
      <c r="P7" s="333">
        <f t="shared" si="1"/>
        <v>8340</v>
      </c>
      <c r="Q7" s="333">
        <f>Q8+Q25+Q30+Q34+Q47+Q55+Q61+Q67+Q73+Q80+Q86</f>
        <v>78399.93467821623</v>
      </c>
      <c r="R7" s="333">
        <f t="shared" si="1"/>
        <v>500</v>
      </c>
      <c r="S7" s="333">
        <f t="shared" si="1"/>
        <v>0</v>
      </c>
      <c r="T7" s="333">
        <f t="shared" si="1"/>
        <v>1500</v>
      </c>
      <c r="U7" s="333">
        <f t="shared" si="1"/>
        <v>2936</v>
      </c>
      <c r="V7" s="333">
        <f t="shared" si="1"/>
        <v>0</v>
      </c>
      <c r="W7" s="333">
        <f t="shared" si="1"/>
        <v>1200</v>
      </c>
      <c r="X7" s="333">
        <f t="shared" si="1"/>
        <v>10664.279999999999</v>
      </c>
      <c r="Y7" s="333">
        <f t="shared" si="1"/>
        <v>10891.292000000001</v>
      </c>
      <c r="Z7" s="333">
        <f t="shared" si="1"/>
        <v>12664.279999999999</v>
      </c>
      <c r="AA7" s="333">
        <f t="shared" si="1"/>
        <v>15540</v>
      </c>
      <c r="AB7" s="333">
        <f t="shared" si="1"/>
        <v>129582.72858</v>
      </c>
      <c r="AC7" s="333">
        <f t="shared" si="1"/>
        <v>132514.76238100004</v>
      </c>
      <c r="AD7" s="333">
        <f t="shared" si="1"/>
        <v>8600</v>
      </c>
      <c r="AE7" s="333">
        <f t="shared" si="1"/>
        <v>69700</v>
      </c>
      <c r="AF7" s="333">
        <f t="shared" si="1"/>
        <v>23741.54380535</v>
      </c>
      <c r="AG7" s="333">
        <f t="shared" si="1"/>
        <v>10295.345000000001</v>
      </c>
      <c r="AH7" s="333">
        <f t="shared" si="1"/>
        <v>6604.332837526827</v>
      </c>
      <c r="AI7" s="333">
        <f t="shared" si="1"/>
        <v>3909.4800000000005</v>
      </c>
      <c r="AJ7" s="333">
        <f t="shared" si="1"/>
        <v>0</v>
      </c>
      <c r="AK7" s="333">
        <f t="shared" si="1"/>
        <v>973.005</v>
      </c>
      <c r="AL7" s="333">
        <f t="shared" si="1"/>
        <v>0</v>
      </c>
      <c r="AM7" s="333">
        <f t="shared" si="1"/>
        <v>0</v>
      </c>
      <c r="AN7" s="333">
        <f t="shared" si="1"/>
        <v>30259.863256276825</v>
      </c>
      <c r="AO7" s="333">
        <f t="shared" si="1"/>
        <v>14739.546999999999</v>
      </c>
      <c r="AP7" s="333">
        <f t="shared" si="1"/>
        <v>159842.59183627678</v>
      </c>
      <c r="AQ7" s="333">
        <f t="shared" si="1"/>
        <v>77912.70367821623</v>
      </c>
      <c r="AR7" s="333">
        <f>Q7-AQ7</f>
        <v>487.23099999999977</v>
      </c>
    </row>
    <row r="8" spans="1:117" s="200" customFormat="1" ht="55.5" customHeight="1">
      <c r="A8" s="279">
        <v>1</v>
      </c>
      <c r="B8" s="334" t="s">
        <v>380</v>
      </c>
      <c r="C8" s="335" t="s">
        <v>381</v>
      </c>
      <c r="D8" s="335"/>
      <c r="E8" s="279" t="s">
        <v>382</v>
      </c>
      <c r="F8" s="335" t="s">
        <v>383</v>
      </c>
      <c r="G8" s="336">
        <v>82000</v>
      </c>
      <c r="H8" s="335" t="s">
        <v>384</v>
      </c>
      <c r="I8" s="337">
        <f>SUM(I9:I24)</f>
        <v>159200</v>
      </c>
      <c r="J8" s="337">
        <v>10560</v>
      </c>
      <c r="K8" s="337">
        <v>13000</v>
      </c>
      <c r="L8" s="337">
        <v>8340</v>
      </c>
      <c r="M8" s="337">
        <v>7000</v>
      </c>
      <c r="N8" s="338">
        <f>SUM(N9:N24)</f>
        <v>114333.115949</v>
      </c>
      <c r="O8" s="338">
        <f>SUM(O9:O24)</f>
        <v>115974.76238100002</v>
      </c>
      <c r="P8" s="339">
        <v>8340</v>
      </c>
      <c r="Q8" s="478">
        <f>J8+K8+L8+M8</f>
        <v>38900</v>
      </c>
      <c r="R8" s="337">
        <f>SUM(R9:R24)</f>
        <v>500</v>
      </c>
      <c r="S8" s="341">
        <f aca="true" t="shared" si="2" ref="S8:AB8">SUM(S9:S24)</f>
        <v>0</v>
      </c>
      <c r="T8" s="339">
        <f t="shared" si="2"/>
        <v>1500</v>
      </c>
      <c r="U8" s="339">
        <f t="shared" si="2"/>
        <v>2936</v>
      </c>
      <c r="V8" s="341">
        <f t="shared" si="2"/>
        <v>0</v>
      </c>
      <c r="W8" s="341">
        <f t="shared" si="2"/>
        <v>0</v>
      </c>
      <c r="X8" s="341">
        <f t="shared" si="2"/>
        <v>10389.068</v>
      </c>
      <c r="Y8" s="341">
        <f t="shared" si="2"/>
        <v>4891.292</v>
      </c>
      <c r="Z8" s="337">
        <f t="shared" si="2"/>
        <v>12389.068</v>
      </c>
      <c r="AA8" s="338">
        <f>SUM(AA9:AA24)</f>
        <v>8340</v>
      </c>
      <c r="AB8" s="342">
        <f t="shared" si="2"/>
        <v>126722.183949</v>
      </c>
      <c r="AC8" s="342">
        <f>SUM(AC9:AC24)</f>
        <v>124314.76238100002</v>
      </c>
      <c r="AD8" s="343">
        <v>7000</v>
      </c>
      <c r="AE8" s="340">
        <f>Q8+AD8</f>
        <v>45900</v>
      </c>
      <c r="AF8" s="340">
        <f aca="true" t="shared" si="3" ref="AF8:AO8">SUM(AF9:AF24)</f>
        <v>0</v>
      </c>
      <c r="AG8" s="340">
        <f t="shared" si="3"/>
        <v>0</v>
      </c>
      <c r="AH8" s="340">
        <f t="shared" si="3"/>
        <v>0</v>
      </c>
      <c r="AI8" s="340">
        <f t="shared" si="3"/>
        <v>0</v>
      </c>
      <c r="AJ8" s="340">
        <f t="shared" si="3"/>
        <v>0</v>
      </c>
      <c r="AK8" s="340">
        <f t="shared" si="3"/>
        <v>973.005</v>
      </c>
      <c r="AL8" s="340">
        <f t="shared" si="3"/>
        <v>0</v>
      </c>
      <c r="AM8" s="340">
        <f t="shared" si="3"/>
        <v>0</v>
      </c>
      <c r="AN8" s="340">
        <f t="shared" si="3"/>
        <v>0</v>
      </c>
      <c r="AO8" s="276">
        <f t="shared" si="3"/>
        <v>973.005</v>
      </c>
      <c r="AP8" s="340">
        <f>SUM(AP9:AP24)</f>
        <v>126722.183949</v>
      </c>
      <c r="AQ8" s="478">
        <f>Q8</f>
        <v>38900</v>
      </c>
      <c r="AR8" s="340" t="s">
        <v>422</v>
      </c>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row>
    <row r="9" spans="1:117" s="200" customFormat="1" ht="21" customHeight="1" hidden="1">
      <c r="A9" s="279">
        <v>1</v>
      </c>
      <c r="B9" s="334" t="s">
        <v>385</v>
      </c>
      <c r="C9" s="335"/>
      <c r="D9" s="335"/>
      <c r="E9" s="335"/>
      <c r="F9" s="291"/>
      <c r="G9" s="337">
        <v>12200</v>
      </c>
      <c r="H9" s="291"/>
      <c r="I9" s="337">
        <v>8644.989</v>
      </c>
      <c r="J9" s="337"/>
      <c r="K9" s="337"/>
      <c r="L9" s="337"/>
      <c r="M9" s="337"/>
      <c r="N9" s="344">
        <v>8644.989381</v>
      </c>
      <c r="O9" s="344">
        <v>8644.989381</v>
      </c>
      <c r="P9" s="289"/>
      <c r="Q9" s="337"/>
      <c r="R9" s="337"/>
      <c r="S9" s="337"/>
      <c r="T9" s="337"/>
      <c r="U9" s="337"/>
      <c r="V9" s="337"/>
      <c r="W9" s="337"/>
      <c r="X9" s="345"/>
      <c r="Y9" s="345"/>
      <c r="Z9" s="341">
        <f>R9+T9+V9+X9</f>
        <v>0</v>
      </c>
      <c r="AA9" s="341">
        <f>S9+U9+W9+Y9</f>
        <v>0</v>
      </c>
      <c r="AB9" s="346">
        <f aca="true" t="shared" si="4" ref="AB9:AB24">N9+Z9</f>
        <v>8644.989381</v>
      </c>
      <c r="AC9" s="346">
        <f aca="true" t="shared" si="5" ref="AC9:AC24">O9+AA9</f>
        <v>8644.989381</v>
      </c>
      <c r="AD9" s="347"/>
      <c r="AE9" s="348"/>
      <c r="AF9" s="348"/>
      <c r="AG9" s="348"/>
      <c r="AH9" s="348"/>
      <c r="AI9" s="348"/>
      <c r="AJ9" s="348"/>
      <c r="AK9" s="348"/>
      <c r="AL9" s="348"/>
      <c r="AM9" s="348"/>
      <c r="AN9" s="348">
        <f>AF9+AH9+AJ9+AL9</f>
        <v>0</v>
      </c>
      <c r="AO9" s="348">
        <f>AG9+AI9+AK9+AM9</f>
        <v>0</v>
      </c>
      <c r="AP9" s="349">
        <f aca="true" t="shared" si="6" ref="AP9:AP24">AN9+AB9</f>
        <v>8644.989381</v>
      </c>
      <c r="AQ9" s="350">
        <f aca="true" t="shared" si="7" ref="AQ9:AQ24">AO9+AC9</f>
        <v>8644.989381</v>
      </c>
      <c r="AR9" s="291"/>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row>
    <row r="10" spans="1:117" s="200" customFormat="1" ht="27.75" customHeight="1" hidden="1">
      <c r="A10" s="279">
        <v>2</v>
      </c>
      <c r="B10" s="334" t="s">
        <v>386</v>
      </c>
      <c r="C10" s="335"/>
      <c r="D10" s="335"/>
      <c r="E10" s="335"/>
      <c r="F10" s="291"/>
      <c r="G10" s="351">
        <v>36076.877</v>
      </c>
      <c r="H10" s="291"/>
      <c r="I10" s="351">
        <v>68602.6</v>
      </c>
      <c r="J10" s="351"/>
      <c r="K10" s="351"/>
      <c r="L10" s="351"/>
      <c r="M10" s="351"/>
      <c r="N10" s="344">
        <v>68602.6</v>
      </c>
      <c r="O10" s="344">
        <v>67833.599</v>
      </c>
      <c r="P10" s="289"/>
      <c r="Q10" s="337"/>
      <c r="R10" s="337"/>
      <c r="S10" s="337"/>
      <c r="T10" s="337"/>
      <c r="U10" s="337"/>
      <c r="V10" s="337"/>
      <c r="W10" s="337"/>
      <c r="X10" s="345"/>
      <c r="Y10" s="345"/>
      <c r="Z10" s="341">
        <f aca="true" t="shared" si="8" ref="Z10:AA46">R10+T10+V10+X10</f>
        <v>0</v>
      </c>
      <c r="AA10" s="341">
        <f>S10+U10+W10+Y10</f>
        <v>0</v>
      </c>
      <c r="AB10" s="346">
        <f t="shared" si="4"/>
        <v>68602.6</v>
      </c>
      <c r="AC10" s="346">
        <f t="shared" si="5"/>
        <v>67833.599</v>
      </c>
      <c r="AD10" s="347"/>
      <c r="AE10" s="348"/>
      <c r="AF10" s="348"/>
      <c r="AG10" s="348"/>
      <c r="AH10" s="348"/>
      <c r="AI10" s="348"/>
      <c r="AJ10" s="348"/>
      <c r="AK10" s="348"/>
      <c r="AL10" s="348"/>
      <c r="AM10" s="348"/>
      <c r="AN10" s="348">
        <f aca="true" t="shared" si="9" ref="AN10:AO24">AF10+AH10+AJ10+AL10</f>
        <v>0</v>
      </c>
      <c r="AO10" s="348">
        <f t="shared" si="9"/>
        <v>0</v>
      </c>
      <c r="AP10" s="349">
        <f t="shared" si="6"/>
        <v>68602.6</v>
      </c>
      <c r="AQ10" s="350">
        <f t="shared" si="7"/>
        <v>67833.599</v>
      </c>
      <c r="AR10" s="291"/>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c r="CZ10" s="199"/>
      <c r="DA10" s="199"/>
      <c r="DB10" s="199"/>
      <c r="DC10" s="199"/>
      <c r="DD10" s="199"/>
      <c r="DE10" s="199"/>
      <c r="DF10" s="199"/>
      <c r="DG10" s="199"/>
      <c r="DH10" s="199"/>
      <c r="DI10" s="199"/>
      <c r="DJ10" s="199"/>
      <c r="DK10" s="199"/>
      <c r="DL10" s="199"/>
      <c r="DM10" s="199"/>
    </row>
    <row r="11" spans="1:117" s="200" customFormat="1" ht="19.5" customHeight="1" hidden="1">
      <c r="A11" s="279">
        <v>3</v>
      </c>
      <c r="B11" s="334" t="s">
        <v>387</v>
      </c>
      <c r="C11" s="335"/>
      <c r="D11" s="335"/>
      <c r="E11" s="335"/>
      <c r="F11" s="291"/>
      <c r="G11" s="351">
        <v>9431.27</v>
      </c>
      <c r="H11" s="291"/>
      <c r="I11" s="351">
        <v>12306.529</v>
      </c>
      <c r="J11" s="351"/>
      <c r="K11" s="351"/>
      <c r="L11" s="351"/>
      <c r="M11" s="351"/>
      <c r="N11" s="344">
        <v>10859.184506</v>
      </c>
      <c r="O11" s="344">
        <v>7903.181</v>
      </c>
      <c r="P11" s="289"/>
      <c r="Q11" s="337"/>
      <c r="R11" s="337"/>
      <c r="S11" s="337"/>
      <c r="T11" s="293"/>
      <c r="U11" s="337">
        <v>2936</v>
      </c>
      <c r="V11" s="337"/>
      <c r="W11" s="337"/>
      <c r="X11" s="345"/>
      <c r="Y11" s="345"/>
      <c r="Z11" s="341">
        <f t="shared" si="8"/>
        <v>0</v>
      </c>
      <c r="AA11" s="352">
        <f>S11+U11+W11+Y11</f>
        <v>2936</v>
      </c>
      <c r="AB11" s="346">
        <f t="shared" si="4"/>
        <v>10859.184506</v>
      </c>
      <c r="AC11" s="346">
        <f t="shared" si="5"/>
        <v>10839.181</v>
      </c>
      <c r="AD11" s="347"/>
      <c r="AE11" s="348"/>
      <c r="AF11" s="348"/>
      <c r="AG11" s="348"/>
      <c r="AH11" s="348"/>
      <c r="AI11" s="348"/>
      <c r="AJ11" s="348"/>
      <c r="AK11" s="353">
        <f>973.005</f>
        <v>973.005</v>
      </c>
      <c r="AL11" s="348"/>
      <c r="AM11" s="348"/>
      <c r="AN11" s="348">
        <f t="shared" si="9"/>
        <v>0</v>
      </c>
      <c r="AO11" s="349">
        <f t="shared" si="9"/>
        <v>973.005</v>
      </c>
      <c r="AP11" s="349">
        <f t="shared" si="6"/>
        <v>10859.184506</v>
      </c>
      <c r="AQ11" s="350">
        <f t="shared" si="7"/>
        <v>11812.186</v>
      </c>
      <c r="AR11" s="291"/>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199"/>
      <c r="CX11" s="199"/>
      <c r="CY11" s="199"/>
      <c r="CZ11" s="199"/>
      <c r="DA11" s="199"/>
      <c r="DB11" s="199"/>
      <c r="DC11" s="199"/>
      <c r="DD11" s="199"/>
      <c r="DE11" s="199"/>
      <c r="DF11" s="199"/>
      <c r="DG11" s="199"/>
      <c r="DH11" s="199"/>
      <c r="DI11" s="199"/>
      <c r="DJ11" s="199"/>
      <c r="DK11" s="199"/>
      <c r="DL11" s="199"/>
      <c r="DM11" s="199"/>
    </row>
    <row r="12" spans="1:117" s="200" customFormat="1" ht="21" customHeight="1" hidden="1">
      <c r="A12" s="279">
        <v>4</v>
      </c>
      <c r="B12" s="334" t="s">
        <v>388</v>
      </c>
      <c r="C12" s="335"/>
      <c r="D12" s="335"/>
      <c r="E12" s="335"/>
      <c r="F12" s="291"/>
      <c r="G12" s="351">
        <v>11078.45</v>
      </c>
      <c r="H12" s="291"/>
      <c r="I12" s="338">
        <v>42251.468</v>
      </c>
      <c r="J12" s="338"/>
      <c r="K12" s="338"/>
      <c r="L12" s="338"/>
      <c r="M12" s="338"/>
      <c r="N12" s="344">
        <v>6472.734048</v>
      </c>
      <c r="O12" s="344">
        <v>12653.505000000001</v>
      </c>
      <c r="P12" s="289"/>
      <c r="Q12" s="337"/>
      <c r="R12" s="337">
        <v>500</v>
      </c>
      <c r="S12" s="337"/>
      <c r="T12" s="337">
        <v>1500</v>
      </c>
      <c r="U12" s="337"/>
      <c r="V12" s="337"/>
      <c r="W12" s="337"/>
      <c r="X12" s="354">
        <v>10389.068</v>
      </c>
      <c r="Y12" s="354">
        <v>4891.292</v>
      </c>
      <c r="Z12" s="341">
        <f>R12+T12+V12+X12</f>
        <v>12389.068</v>
      </c>
      <c r="AA12" s="355">
        <f>S12+U12+W12+Y12</f>
        <v>4891.292</v>
      </c>
      <c r="AB12" s="346">
        <f t="shared" si="4"/>
        <v>18861.802047999998</v>
      </c>
      <c r="AC12" s="346">
        <f t="shared" si="5"/>
        <v>17544.797000000002</v>
      </c>
      <c r="AD12" s="347"/>
      <c r="AE12" s="348"/>
      <c r="AF12" s="348"/>
      <c r="AG12" s="348"/>
      <c r="AH12" s="348"/>
      <c r="AI12" s="348"/>
      <c r="AJ12" s="348"/>
      <c r="AK12" s="348"/>
      <c r="AL12" s="348"/>
      <c r="AM12" s="348"/>
      <c r="AN12" s="348">
        <f t="shared" si="9"/>
        <v>0</v>
      </c>
      <c r="AO12" s="348">
        <f t="shared" si="9"/>
        <v>0</v>
      </c>
      <c r="AP12" s="349">
        <f t="shared" si="6"/>
        <v>18861.802047999998</v>
      </c>
      <c r="AQ12" s="350">
        <f t="shared" si="7"/>
        <v>17544.797000000002</v>
      </c>
      <c r="AR12" s="291"/>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199"/>
      <c r="CV12" s="199"/>
      <c r="CW12" s="199"/>
      <c r="CX12" s="199"/>
      <c r="CY12" s="199"/>
      <c r="CZ12" s="199"/>
      <c r="DA12" s="199"/>
      <c r="DB12" s="199"/>
      <c r="DC12" s="199"/>
      <c r="DD12" s="199"/>
      <c r="DE12" s="199"/>
      <c r="DF12" s="199"/>
      <c r="DG12" s="199"/>
      <c r="DH12" s="199"/>
      <c r="DI12" s="199"/>
      <c r="DJ12" s="199"/>
      <c r="DK12" s="199"/>
      <c r="DL12" s="199"/>
      <c r="DM12" s="199"/>
    </row>
    <row r="13" spans="1:117" s="200" customFormat="1" ht="42" customHeight="1" hidden="1">
      <c r="A13" s="279">
        <v>5</v>
      </c>
      <c r="B13" s="334" t="s">
        <v>389</v>
      </c>
      <c r="C13" s="335"/>
      <c r="D13" s="335"/>
      <c r="E13" s="335"/>
      <c r="F13" s="291"/>
      <c r="G13" s="351"/>
      <c r="H13" s="291"/>
      <c r="I13" s="351">
        <f>2012.244+1150.825</f>
        <v>3163.069</v>
      </c>
      <c r="J13" s="351"/>
      <c r="K13" s="351"/>
      <c r="L13" s="351"/>
      <c r="M13" s="351"/>
      <c r="N13" s="344">
        <v>1987.68874</v>
      </c>
      <c r="O13" s="344">
        <v>1982</v>
      </c>
      <c r="P13" s="289"/>
      <c r="Q13" s="356"/>
      <c r="R13" s="356"/>
      <c r="S13" s="356"/>
      <c r="T13" s="356"/>
      <c r="U13" s="356"/>
      <c r="V13" s="356"/>
      <c r="W13" s="356"/>
      <c r="X13" s="345"/>
      <c r="Y13" s="345"/>
      <c r="Z13" s="341">
        <f t="shared" si="8"/>
        <v>0</v>
      </c>
      <c r="AA13" s="341">
        <v>300</v>
      </c>
      <c r="AB13" s="346">
        <f t="shared" si="4"/>
        <v>1987.68874</v>
      </c>
      <c r="AC13" s="346">
        <f t="shared" si="5"/>
        <v>2282</v>
      </c>
      <c r="AD13" s="347"/>
      <c r="AE13" s="348"/>
      <c r="AF13" s="348"/>
      <c r="AG13" s="348"/>
      <c r="AH13" s="348"/>
      <c r="AI13" s="348"/>
      <c r="AJ13" s="348"/>
      <c r="AK13" s="348"/>
      <c r="AL13" s="348"/>
      <c r="AM13" s="348"/>
      <c r="AN13" s="348">
        <f t="shared" si="9"/>
        <v>0</v>
      </c>
      <c r="AO13" s="348">
        <f t="shared" si="9"/>
        <v>0</v>
      </c>
      <c r="AP13" s="349">
        <f t="shared" si="6"/>
        <v>1987.68874</v>
      </c>
      <c r="AQ13" s="350">
        <f t="shared" si="7"/>
        <v>2282</v>
      </c>
      <c r="AR13" s="291"/>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9"/>
      <c r="CY13" s="199"/>
      <c r="CZ13" s="199"/>
      <c r="DA13" s="199"/>
      <c r="DB13" s="199"/>
      <c r="DC13" s="199"/>
      <c r="DD13" s="199"/>
      <c r="DE13" s="199"/>
      <c r="DF13" s="199"/>
      <c r="DG13" s="199"/>
      <c r="DH13" s="199"/>
      <c r="DI13" s="199"/>
      <c r="DJ13" s="199"/>
      <c r="DK13" s="199"/>
      <c r="DL13" s="199"/>
      <c r="DM13" s="199"/>
    </row>
    <row r="14" spans="1:117" s="200" customFormat="1" ht="21" customHeight="1" hidden="1">
      <c r="A14" s="279">
        <v>6</v>
      </c>
      <c r="B14" s="334" t="s">
        <v>390</v>
      </c>
      <c r="C14" s="335"/>
      <c r="D14" s="335"/>
      <c r="E14" s="335"/>
      <c r="F14" s="291"/>
      <c r="G14" s="351"/>
      <c r="H14" s="291"/>
      <c r="I14" s="351">
        <v>316.15</v>
      </c>
      <c r="J14" s="351"/>
      <c r="K14" s="351"/>
      <c r="L14" s="351"/>
      <c r="M14" s="351"/>
      <c r="N14" s="344">
        <v>320.985</v>
      </c>
      <c r="O14" s="344">
        <v>320.985</v>
      </c>
      <c r="P14" s="289"/>
      <c r="Q14" s="356"/>
      <c r="R14" s="356"/>
      <c r="S14" s="356"/>
      <c r="T14" s="356"/>
      <c r="U14" s="356"/>
      <c r="V14" s="356"/>
      <c r="W14" s="356"/>
      <c r="X14" s="345"/>
      <c r="Y14" s="345"/>
      <c r="Z14" s="341">
        <f t="shared" si="8"/>
        <v>0</v>
      </c>
      <c r="AA14" s="341">
        <f t="shared" si="8"/>
        <v>0</v>
      </c>
      <c r="AB14" s="346">
        <f t="shared" si="4"/>
        <v>320.985</v>
      </c>
      <c r="AC14" s="346">
        <f t="shared" si="5"/>
        <v>320.985</v>
      </c>
      <c r="AD14" s="347"/>
      <c r="AE14" s="348"/>
      <c r="AF14" s="348"/>
      <c r="AG14" s="348"/>
      <c r="AH14" s="348"/>
      <c r="AI14" s="348"/>
      <c r="AJ14" s="348"/>
      <c r="AK14" s="348"/>
      <c r="AL14" s="348"/>
      <c r="AM14" s="348"/>
      <c r="AN14" s="348">
        <f t="shared" si="9"/>
        <v>0</v>
      </c>
      <c r="AO14" s="348">
        <f t="shared" si="9"/>
        <v>0</v>
      </c>
      <c r="AP14" s="349">
        <f t="shared" si="6"/>
        <v>320.985</v>
      </c>
      <c r="AQ14" s="350">
        <f t="shared" si="7"/>
        <v>320.985</v>
      </c>
      <c r="AR14" s="291"/>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199"/>
      <c r="CV14" s="199"/>
      <c r="CW14" s="199"/>
      <c r="CX14" s="199"/>
      <c r="CY14" s="199"/>
      <c r="CZ14" s="199"/>
      <c r="DA14" s="199"/>
      <c r="DB14" s="199"/>
      <c r="DC14" s="199"/>
      <c r="DD14" s="199"/>
      <c r="DE14" s="199"/>
      <c r="DF14" s="199"/>
      <c r="DG14" s="199"/>
      <c r="DH14" s="199"/>
      <c r="DI14" s="199"/>
      <c r="DJ14" s="199"/>
      <c r="DK14" s="199"/>
      <c r="DL14" s="199"/>
      <c r="DM14" s="199"/>
    </row>
    <row r="15" spans="1:117" s="200" customFormat="1" ht="21" customHeight="1" hidden="1">
      <c r="A15" s="279">
        <v>7</v>
      </c>
      <c r="B15" s="334" t="s">
        <v>391</v>
      </c>
      <c r="C15" s="335"/>
      <c r="D15" s="335"/>
      <c r="E15" s="335"/>
      <c r="F15" s="291"/>
      <c r="G15" s="351"/>
      <c r="H15" s="291"/>
      <c r="I15" s="351">
        <v>320.985</v>
      </c>
      <c r="J15" s="351"/>
      <c r="K15" s="351"/>
      <c r="L15" s="351"/>
      <c r="M15" s="351"/>
      <c r="N15" s="344">
        <v>316.15</v>
      </c>
      <c r="O15" s="344">
        <v>316.15</v>
      </c>
      <c r="P15" s="289"/>
      <c r="Q15" s="357"/>
      <c r="R15" s="357"/>
      <c r="S15" s="357"/>
      <c r="T15" s="357"/>
      <c r="U15" s="357"/>
      <c r="V15" s="357"/>
      <c r="W15" s="357"/>
      <c r="X15" s="345"/>
      <c r="Y15" s="345"/>
      <c r="Z15" s="341">
        <f t="shared" si="8"/>
        <v>0</v>
      </c>
      <c r="AA15" s="341">
        <f t="shared" si="8"/>
        <v>0</v>
      </c>
      <c r="AB15" s="346">
        <f t="shared" si="4"/>
        <v>316.15</v>
      </c>
      <c r="AC15" s="346">
        <f t="shared" si="5"/>
        <v>316.15</v>
      </c>
      <c r="AD15" s="347"/>
      <c r="AE15" s="348"/>
      <c r="AF15" s="348"/>
      <c r="AG15" s="348"/>
      <c r="AH15" s="348"/>
      <c r="AI15" s="348"/>
      <c r="AJ15" s="348"/>
      <c r="AK15" s="348"/>
      <c r="AL15" s="348"/>
      <c r="AM15" s="348"/>
      <c r="AN15" s="348">
        <f t="shared" si="9"/>
        <v>0</v>
      </c>
      <c r="AO15" s="348">
        <f t="shared" si="9"/>
        <v>0</v>
      </c>
      <c r="AP15" s="349">
        <f t="shared" si="6"/>
        <v>316.15</v>
      </c>
      <c r="AQ15" s="350">
        <f t="shared" si="7"/>
        <v>316.15</v>
      </c>
      <c r="AR15" s="291"/>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199"/>
      <c r="CV15" s="199"/>
      <c r="CW15" s="199"/>
      <c r="CX15" s="199"/>
      <c r="CY15" s="199"/>
      <c r="CZ15" s="199"/>
      <c r="DA15" s="199"/>
      <c r="DB15" s="199"/>
      <c r="DC15" s="199"/>
      <c r="DD15" s="199"/>
      <c r="DE15" s="199"/>
      <c r="DF15" s="199"/>
      <c r="DG15" s="199"/>
      <c r="DH15" s="199"/>
      <c r="DI15" s="199"/>
      <c r="DJ15" s="199"/>
      <c r="DK15" s="199"/>
      <c r="DL15" s="199"/>
      <c r="DM15" s="199"/>
    </row>
    <row r="16" spans="1:117" s="209" customFormat="1" ht="30" customHeight="1" hidden="1">
      <c r="A16" s="279">
        <v>8</v>
      </c>
      <c r="B16" s="334" t="s">
        <v>392</v>
      </c>
      <c r="C16" s="358"/>
      <c r="D16" s="343"/>
      <c r="E16" s="359"/>
      <c r="F16" s="359"/>
      <c r="G16" s="351">
        <v>811.4</v>
      </c>
      <c r="H16" s="359"/>
      <c r="I16" s="356">
        <v>974.904</v>
      </c>
      <c r="J16" s="356"/>
      <c r="K16" s="356"/>
      <c r="L16" s="356"/>
      <c r="M16" s="356"/>
      <c r="N16" s="344">
        <v>974.904</v>
      </c>
      <c r="O16" s="344">
        <v>974.9</v>
      </c>
      <c r="P16" s="289"/>
      <c r="Q16" s="356"/>
      <c r="R16" s="356"/>
      <c r="S16" s="356"/>
      <c r="T16" s="356"/>
      <c r="U16" s="356"/>
      <c r="V16" s="356"/>
      <c r="W16" s="356"/>
      <c r="X16" s="360"/>
      <c r="Y16" s="360"/>
      <c r="Z16" s="341">
        <f t="shared" si="8"/>
        <v>0</v>
      </c>
      <c r="AA16" s="341">
        <f t="shared" si="8"/>
        <v>0</v>
      </c>
      <c r="AB16" s="346">
        <f t="shared" si="4"/>
        <v>974.904</v>
      </c>
      <c r="AC16" s="346">
        <f t="shared" si="5"/>
        <v>974.9</v>
      </c>
      <c r="AD16" s="347"/>
      <c r="AE16" s="348"/>
      <c r="AF16" s="348"/>
      <c r="AG16" s="348"/>
      <c r="AH16" s="348"/>
      <c r="AI16" s="348"/>
      <c r="AJ16" s="348"/>
      <c r="AK16" s="348"/>
      <c r="AL16" s="348"/>
      <c r="AM16" s="348"/>
      <c r="AN16" s="348">
        <f t="shared" si="9"/>
        <v>0</v>
      </c>
      <c r="AO16" s="348">
        <f t="shared" si="9"/>
        <v>0</v>
      </c>
      <c r="AP16" s="349">
        <f t="shared" si="6"/>
        <v>974.904</v>
      </c>
      <c r="AQ16" s="350">
        <f t="shared" si="7"/>
        <v>974.9</v>
      </c>
      <c r="AR16" s="358"/>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199"/>
      <c r="CV16" s="199"/>
      <c r="CW16" s="199"/>
      <c r="CX16" s="199"/>
      <c r="CY16" s="199"/>
      <c r="CZ16" s="199"/>
      <c r="DA16" s="199"/>
      <c r="DB16" s="199"/>
      <c r="DC16" s="199"/>
      <c r="DD16" s="199"/>
      <c r="DE16" s="199"/>
      <c r="DF16" s="199"/>
      <c r="DG16" s="199"/>
      <c r="DH16" s="199"/>
      <c r="DI16" s="199"/>
      <c r="DJ16" s="199"/>
      <c r="DK16" s="199"/>
      <c r="DL16" s="199"/>
      <c r="DM16" s="199"/>
    </row>
    <row r="17" spans="1:117" s="215" customFormat="1" ht="20.25" customHeight="1" hidden="1">
      <c r="A17" s="279">
        <v>9</v>
      </c>
      <c r="B17" s="334" t="s">
        <v>393</v>
      </c>
      <c r="C17" s="272"/>
      <c r="D17" s="272"/>
      <c r="E17" s="272"/>
      <c r="F17" s="272"/>
      <c r="G17" s="361">
        <v>649.992</v>
      </c>
      <c r="H17" s="273"/>
      <c r="I17" s="361">
        <v>259.997</v>
      </c>
      <c r="J17" s="361"/>
      <c r="K17" s="361"/>
      <c r="L17" s="361"/>
      <c r="M17" s="361"/>
      <c r="N17" s="344">
        <v>259.996753</v>
      </c>
      <c r="O17" s="344">
        <v>0</v>
      </c>
      <c r="P17" s="289"/>
      <c r="Q17" s="361"/>
      <c r="R17" s="361"/>
      <c r="S17" s="361"/>
      <c r="T17" s="361"/>
      <c r="U17" s="361"/>
      <c r="V17" s="361"/>
      <c r="W17" s="361"/>
      <c r="X17" s="362"/>
      <c r="Y17" s="345"/>
      <c r="Z17" s="341">
        <f t="shared" si="8"/>
        <v>0</v>
      </c>
      <c r="AA17" s="341">
        <f t="shared" si="8"/>
        <v>0</v>
      </c>
      <c r="AB17" s="346">
        <f t="shared" si="4"/>
        <v>259.996753</v>
      </c>
      <c r="AC17" s="346">
        <f t="shared" si="5"/>
        <v>0</v>
      </c>
      <c r="AD17" s="347"/>
      <c r="AE17" s="363"/>
      <c r="AF17" s="363"/>
      <c r="AG17" s="363"/>
      <c r="AH17" s="363"/>
      <c r="AI17" s="363"/>
      <c r="AJ17" s="363"/>
      <c r="AK17" s="363"/>
      <c r="AL17" s="363"/>
      <c r="AM17" s="363"/>
      <c r="AN17" s="348">
        <f t="shared" si="9"/>
        <v>0</v>
      </c>
      <c r="AO17" s="348">
        <f t="shared" si="9"/>
        <v>0</v>
      </c>
      <c r="AP17" s="349">
        <f t="shared" si="6"/>
        <v>259.996753</v>
      </c>
      <c r="AQ17" s="350">
        <f t="shared" si="7"/>
        <v>0</v>
      </c>
      <c r="AR17" s="27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c r="CR17" s="213"/>
      <c r="CS17" s="213"/>
      <c r="CT17" s="213"/>
      <c r="CU17" s="213"/>
      <c r="CV17" s="213"/>
      <c r="CW17" s="213"/>
      <c r="CX17" s="213"/>
      <c r="CY17" s="213"/>
      <c r="CZ17" s="214"/>
      <c r="DA17" s="214"/>
      <c r="DB17" s="214"/>
      <c r="DC17" s="214"/>
      <c r="DD17" s="214"/>
      <c r="DE17" s="214"/>
      <c r="DF17" s="214"/>
      <c r="DG17" s="214"/>
      <c r="DH17" s="214"/>
      <c r="DI17" s="214"/>
      <c r="DJ17" s="214"/>
      <c r="DK17" s="214"/>
      <c r="DL17" s="214"/>
      <c r="DM17" s="214"/>
    </row>
    <row r="18" spans="1:117" s="218" customFormat="1" ht="20.25" customHeight="1" hidden="1">
      <c r="A18" s="279">
        <v>10</v>
      </c>
      <c r="B18" s="334" t="s">
        <v>394</v>
      </c>
      <c r="C18" s="364"/>
      <c r="D18" s="364"/>
      <c r="E18" s="364"/>
      <c r="F18" s="364"/>
      <c r="G18" s="361">
        <v>627.156</v>
      </c>
      <c r="H18" s="364"/>
      <c r="I18" s="365">
        <v>587.857</v>
      </c>
      <c r="J18" s="365"/>
      <c r="K18" s="365"/>
      <c r="L18" s="365"/>
      <c r="M18" s="365"/>
      <c r="N18" s="344">
        <v>590.623</v>
      </c>
      <c r="O18" s="344">
        <v>587.857</v>
      </c>
      <c r="P18" s="344"/>
      <c r="Q18" s="361"/>
      <c r="R18" s="361"/>
      <c r="S18" s="361"/>
      <c r="T18" s="361"/>
      <c r="U18" s="361"/>
      <c r="V18" s="361"/>
      <c r="W18" s="361"/>
      <c r="X18" s="362"/>
      <c r="Y18" s="345"/>
      <c r="Z18" s="341">
        <f t="shared" si="8"/>
        <v>0</v>
      </c>
      <c r="AA18" s="341">
        <f t="shared" si="8"/>
        <v>0</v>
      </c>
      <c r="AB18" s="346">
        <f t="shared" si="4"/>
        <v>590.623</v>
      </c>
      <c r="AC18" s="346">
        <f t="shared" si="5"/>
        <v>587.857</v>
      </c>
      <c r="AD18" s="347"/>
      <c r="AE18" s="366"/>
      <c r="AF18" s="366"/>
      <c r="AG18" s="366"/>
      <c r="AH18" s="366"/>
      <c r="AI18" s="366"/>
      <c r="AJ18" s="366"/>
      <c r="AK18" s="366"/>
      <c r="AL18" s="366"/>
      <c r="AM18" s="366"/>
      <c r="AN18" s="348">
        <f t="shared" si="9"/>
        <v>0</v>
      </c>
      <c r="AO18" s="348">
        <f t="shared" si="9"/>
        <v>0</v>
      </c>
      <c r="AP18" s="349">
        <f t="shared" si="6"/>
        <v>590.623</v>
      </c>
      <c r="AQ18" s="350">
        <f t="shared" si="7"/>
        <v>587.857</v>
      </c>
      <c r="AR18" s="367"/>
      <c r="AS18" s="216"/>
      <c r="AT18" s="216"/>
      <c r="AU18" s="216"/>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6"/>
      <c r="CM18" s="216"/>
      <c r="CN18" s="216"/>
      <c r="CO18" s="216"/>
      <c r="CP18" s="216"/>
      <c r="CQ18" s="216"/>
      <c r="CR18" s="216"/>
      <c r="CS18" s="216"/>
      <c r="CT18" s="216"/>
      <c r="CU18" s="216"/>
      <c r="CV18" s="216"/>
      <c r="CW18" s="216"/>
      <c r="CX18" s="216"/>
      <c r="CY18" s="216"/>
      <c r="CZ18" s="217"/>
      <c r="DA18" s="217"/>
      <c r="DB18" s="217"/>
      <c r="DC18" s="217"/>
      <c r="DD18" s="217"/>
      <c r="DE18" s="217"/>
      <c r="DF18" s="217"/>
      <c r="DG18" s="217"/>
      <c r="DH18" s="217"/>
      <c r="DI18" s="217"/>
      <c r="DJ18" s="217"/>
      <c r="DK18" s="217"/>
      <c r="DL18" s="217"/>
      <c r="DM18" s="217"/>
    </row>
    <row r="19" spans="1:117" s="215" customFormat="1" ht="17.25" customHeight="1" hidden="1">
      <c r="A19" s="279">
        <v>11</v>
      </c>
      <c r="B19" s="334" t="s">
        <v>395</v>
      </c>
      <c r="C19" s="272"/>
      <c r="D19" s="272"/>
      <c r="E19" s="272"/>
      <c r="F19" s="272"/>
      <c r="G19" s="361">
        <v>3912.72</v>
      </c>
      <c r="H19" s="273"/>
      <c r="I19" s="356">
        <v>6161.2</v>
      </c>
      <c r="J19" s="356"/>
      <c r="K19" s="356"/>
      <c r="L19" s="356"/>
      <c r="M19" s="356"/>
      <c r="N19" s="344">
        <v>6161.216</v>
      </c>
      <c r="O19" s="344">
        <v>6161.2</v>
      </c>
      <c r="P19" s="289"/>
      <c r="Q19" s="368"/>
      <c r="R19" s="368"/>
      <c r="S19" s="368"/>
      <c r="T19" s="368"/>
      <c r="U19" s="368"/>
      <c r="V19" s="368"/>
      <c r="W19" s="368"/>
      <c r="X19" s="345"/>
      <c r="Y19" s="345"/>
      <c r="Z19" s="341">
        <f t="shared" si="8"/>
        <v>0</v>
      </c>
      <c r="AA19" s="341">
        <f t="shared" si="8"/>
        <v>0</v>
      </c>
      <c r="AB19" s="346">
        <f t="shared" si="4"/>
        <v>6161.216</v>
      </c>
      <c r="AC19" s="346">
        <f t="shared" si="5"/>
        <v>6161.2</v>
      </c>
      <c r="AD19" s="347"/>
      <c r="AE19" s="363"/>
      <c r="AF19" s="363"/>
      <c r="AG19" s="363"/>
      <c r="AH19" s="363"/>
      <c r="AI19" s="363"/>
      <c r="AJ19" s="363"/>
      <c r="AK19" s="363"/>
      <c r="AL19" s="363"/>
      <c r="AM19" s="363"/>
      <c r="AN19" s="348">
        <f t="shared" si="9"/>
        <v>0</v>
      </c>
      <c r="AO19" s="348">
        <f t="shared" si="9"/>
        <v>0</v>
      </c>
      <c r="AP19" s="349">
        <f t="shared" si="6"/>
        <v>6161.216</v>
      </c>
      <c r="AQ19" s="350">
        <f t="shared" si="7"/>
        <v>6161.2</v>
      </c>
      <c r="AR19" s="27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213"/>
      <c r="CO19" s="213"/>
      <c r="CP19" s="213"/>
      <c r="CQ19" s="213"/>
      <c r="CR19" s="213"/>
      <c r="CS19" s="213"/>
      <c r="CT19" s="213"/>
      <c r="CU19" s="213"/>
      <c r="CV19" s="213"/>
      <c r="CW19" s="213"/>
      <c r="CX19" s="213"/>
      <c r="CY19" s="213"/>
      <c r="CZ19" s="214"/>
      <c r="DA19" s="214"/>
      <c r="DB19" s="214"/>
      <c r="DC19" s="214"/>
      <c r="DD19" s="214"/>
      <c r="DE19" s="214"/>
      <c r="DF19" s="214"/>
      <c r="DG19" s="214"/>
      <c r="DH19" s="214"/>
      <c r="DI19" s="214"/>
      <c r="DJ19" s="214"/>
      <c r="DK19" s="214"/>
      <c r="DL19" s="214"/>
      <c r="DM19" s="214"/>
    </row>
    <row r="20" spans="1:117" s="215" customFormat="1" ht="29.25" customHeight="1" hidden="1">
      <c r="A20" s="283">
        <v>12</v>
      </c>
      <c r="B20" s="284" t="s">
        <v>396</v>
      </c>
      <c r="C20" s="272"/>
      <c r="D20" s="272"/>
      <c r="E20" s="272"/>
      <c r="F20" s="272"/>
      <c r="G20" s="369"/>
      <c r="H20" s="273"/>
      <c r="I20" s="370">
        <v>3455.354</v>
      </c>
      <c r="J20" s="370"/>
      <c r="K20" s="370"/>
      <c r="L20" s="370"/>
      <c r="M20" s="370"/>
      <c r="N20" s="344">
        <v>3455.354</v>
      </c>
      <c r="O20" s="344">
        <v>3455.35</v>
      </c>
      <c r="P20" s="289"/>
      <c r="Q20" s="371"/>
      <c r="R20" s="371"/>
      <c r="S20" s="371"/>
      <c r="T20" s="371"/>
      <c r="U20" s="371"/>
      <c r="V20" s="371"/>
      <c r="W20" s="371"/>
      <c r="X20" s="345"/>
      <c r="Y20" s="345"/>
      <c r="Z20" s="341">
        <f t="shared" si="8"/>
        <v>0</v>
      </c>
      <c r="AA20" s="341">
        <f t="shared" si="8"/>
        <v>0</v>
      </c>
      <c r="AB20" s="346">
        <f t="shared" si="4"/>
        <v>3455.354</v>
      </c>
      <c r="AC20" s="346">
        <f t="shared" si="5"/>
        <v>3455.35</v>
      </c>
      <c r="AD20" s="347"/>
      <c r="AE20" s="363"/>
      <c r="AF20" s="363"/>
      <c r="AG20" s="363"/>
      <c r="AH20" s="363"/>
      <c r="AI20" s="363"/>
      <c r="AJ20" s="363"/>
      <c r="AK20" s="363"/>
      <c r="AL20" s="363"/>
      <c r="AM20" s="363"/>
      <c r="AN20" s="348">
        <f t="shared" si="9"/>
        <v>0</v>
      </c>
      <c r="AO20" s="348">
        <f t="shared" si="9"/>
        <v>0</v>
      </c>
      <c r="AP20" s="349">
        <f t="shared" si="6"/>
        <v>3455.354</v>
      </c>
      <c r="AQ20" s="350">
        <f t="shared" si="7"/>
        <v>3455.35</v>
      </c>
      <c r="AR20" s="27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213"/>
      <c r="CL20" s="213"/>
      <c r="CM20" s="213"/>
      <c r="CN20" s="213"/>
      <c r="CO20" s="213"/>
      <c r="CP20" s="213"/>
      <c r="CQ20" s="213"/>
      <c r="CR20" s="213"/>
      <c r="CS20" s="213"/>
      <c r="CT20" s="213"/>
      <c r="CU20" s="213"/>
      <c r="CV20" s="213"/>
      <c r="CW20" s="213"/>
      <c r="CX20" s="213"/>
      <c r="CY20" s="213"/>
      <c r="CZ20" s="214"/>
      <c r="DA20" s="214"/>
      <c r="DB20" s="214"/>
      <c r="DC20" s="214"/>
      <c r="DD20" s="214"/>
      <c r="DE20" s="214"/>
      <c r="DF20" s="214"/>
      <c r="DG20" s="214"/>
      <c r="DH20" s="214"/>
      <c r="DI20" s="214"/>
      <c r="DJ20" s="214"/>
      <c r="DK20" s="214"/>
      <c r="DL20" s="214"/>
      <c r="DM20" s="214"/>
    </row>
    <row r="21" spans="1:117" s="215" customFormat="1" ht="17.25" customHeight="1" hidden="1">
      <c r="A21" s="283">
        <v>13</v>
      </c>
      <c r="B21" s="284" t="s">
        <v>397</v>
      </c>
      <c r="C21" s="272"/>
      <c r="D21" s="272"/>
      <c r="E21" s="272"/>
      <c r="F21" s="272"/>
      <c r="G21" s="369"/>
      <c r="H21" s="273"/>
      <c r="I21" s="370">
        <v>346.793</v>
      </c>
      <c r="J21" s="370"/>
      <c r="K21" s="370"/>
      <c r="L21" s="370"/>
      <c r="M21" s="370"/>
      <c r="N21" s="344">
        <v>220</v>
      </c>
      <c r="O21" s="344">
        <v>160.835</v>
      </c>
      <c r="P21" s="289"/>
      <c r="Q21" s="371"/>
      <c r="R21" s="371"/>
      <c r="S21" s="371"/>
      <c r="T21" s="371"/>
      <c r="U21" s="371"/>
      <c r="V21" s="371"/>
      <c r="W21" s="371"/>
      <c r="X21" s="345"/>
      <c r="Y21" s="345"/>
      <c r="Z21" s="341">
        <f t="shared" si="8"/>
        <v>0</v>
      </c>
      <c r="AA21" s="341">
        <f t="shared" si="8"/>
        <v>0</v>
      </c>
      <c r="AB21" s="346">
        <f t="shared" si="4"/>
        <v>220</v>
      </c>
      <c r="AC21" s="346">
        <f t="shared" si="5"/>
        <v>160.835</v>
      </c>
      <c r="AD21" s="347"/>
      <c r="AE21" s="363"/>
      <c r="AF21" s="363"/>
      <c r="AG21" s="363"/>
      <c r="AH21" s="363"/>
      <c r="AI21" s="363"/>
      <c r="AJ21" s="363"/>
      <c r="AK21" s="363"/>
      <c r="AL21" s="363"/>
      <c r="AM21" s="363"/>
      <c r="AN21" s="348">
        <f t="shared" si="9"/>
        <v>0</v>
      </c>
      <c r="AO21" s="348">
        <f t="shared" si="9"/>
        <v>0</v>
      </c>
      <c r="AP21" s="349">
        <f t="shared" si="6"/>
        <v>220</v>
      </c>
      <c r="AQ21" s="350">
        <f t="shared" si="7"/>
        <v>160.835</v>
      </c>
      <c r="AR21" s="27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4"/>
      <c r="DA21" s="214"/>
      <c r="DB21" s="214"/>
      <c r="DC21" s="214"/>
      <c r="DD21" s="214"/>
      <c r="DE21" s="214"/>
      <c r="DF21" s="214"/>
      <c r="DG21" s="214"/>
      <c r="DH21" s="214"/>
      <c r="DI21" s="214"/>
      <c r="DJ21" s="214"/>
      <c r="DK21" s="214"/>
      <c r="DL21" s="214"/>
      <c r="DM21" s="214"/>
    </row>
    <row r="22" spans="1:117" s="215" customFormat="1" ht="42.75" customHeight="1" hidden="1">
      <c r="A22" s="279">
        <v>14</v>
      </c>
      <c r="B22" s="334" t="s">
        <v>398</v>
      </c>
      <c r="C22" s="272"/>
      <c r="D22" s="272"/>
      <c r="E22" s="272"/>
      <c r="F22" s="272"/>
      <c r="G22" s="361">
        <v>4732.5</v>
      </c>
      <c r="H22" s="273"/>
      <c r="I22" s="372">
        <v>84.043</v>
      </c>
      <c r="J22" s="372"/>
      <c r="K22" s="372"/>
      <c r="L22" s="372"/>
      <c r="M22" s="372"/>
      <c r="N22" s="344">
        <v>84.043253</v>
      </c>
      <c r="O22" s="344">
        <v>84.043</v>
      </c>
      <c r="P22" s="289"/>
      <c r="Q22" s="373"/>
      <c r="R22" s="373"/>
      <c r="S22" s="373"/>
      <c r="T22" s="373"/>
      <c r="U22" s="373"/>
      <c r="V22" s="373"/>
      <c r="W22" s="373"/>
      <c r="X22" s="345"/>
      <c r="Y22" s="345"/>
      <c r="Z22" s="341">
        <f t="shared" si="8"/>
        <v>0</v>
      </c>
      <c r="AA22" s="341">
        <f t="shared" si="8"/>
        <v>0</v>
      </c>
      <c r="AB22" s="346">
        <f t="shared" si="4"/>
        <v>84.043253</v>
      </c>
      <c r="AC22" s="346">
        <f t="shared" si="5"/>
        <v>84.043</v>
      </c>
      <c r="AD22" s="347"/>
      <c r="AE22" s="363"/>
      <c r="AF22" s="363"/>
      <c r="AG22" s="363"/>
      <c r="AH22" s="363"/>
      <c r="AI22" s="363"/>
      <c r="AJ22" s="363"/>
      <c r="AK22" s="363"/>
      <c r="AL22" s="363"/>
      <c r="AM22" s="363"/>
      <c r="AN22" s="348">
        <f t="shared" si="9"/>
        <v>0</v>
      </c>
      <c r="AO22" s="348">
        <f t="shared" si="9"/>
        <v>0</v>
      </c>
      <c r="AP22" s="349">
        <f t="shared" si="6"/>
        <v>84.043253</v>
      </c>
      <c r="AQ22" s="350">
        <f t="shared" si="7"/>
        <v>84.043</v>
      </c>
      <c r="AR22" s="27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4"/>
      <c r="DA22" s="214"/>
      <c r="DB22" s="214"/>
      <c r="DC22" s="214"/>
      <c r="DD22" s="214"/>
      <c r="DE22" s="214"/>
      <c r="DF22" s="214"/>
      <c r="DG22" s="214"/>
      <c r="DH22" s="214"/>
      <c r="DI22" s="214"/>
      <c r="DJ22" s="214"/>
      <c r="DK22" s="214"/>
      <c r="DL22" s="214"/>
      <c r="DM22" s="214"/>
    </row>
    <row r="23" spans="1:117" s="215" customFormat="1" ht="17.25" customHeight="1" hidden="1">
      <c r="A23" s="279">
        <v>15</v>
      </c>
      <c r="B23" s="334" t="s">
        <v>399</v>
      </c>
      <c r="C23" s="272"/>
      <c r="D23" s="272"/>
      <c r="E23" s="272"/>
      <c r="F23" s="272"/>
      <c r="G23" s="351">
        <v>2072.67</v>
      </c>
      <c r="H23" s="273"/>
      <c r="I23" s="372">
        <f>7515.126483</f>
        <v>7515.126483</v>
      </c>
      <c r="J23" s="372"/>
      <c r="K23" s="372"/>
      <c r="L23" s="372"/>
      <c r="M23" s="372"/>
      <c r="N23" s="344">
        <f>3200+85.576+723.19765+988.08+134.144+251.649618</f>
        <v>5382.647268000001</v>
      </c>
      <c r="O23" s="374">
        <v>4896.168000000001</v>
      </c>
      <c r="P23" s="344"/>
      <c r="Q23" s="337"/>
      <c r="R23" s="337"/>
      <c r="S23" s="337"/>
      <c r="T23" s="337"/>
      <c r="U23" s="337"/>
      <c r="V23" s="337"/>
      <c r="W23" s="337"/>
      <c r="X23" s="362"/>
      <c r="Y23" s="362"/>
      <c r="Z23" s="341">
        <f>R23+T23+V23+X23</f>
        <v>0</v>
      </c>
      <c r="AA23" s="375">
        <v>212.708</v>
      </c>
      <c r="AB23" s="346">
        <f t="shared" si="4"/>
        <v>5382.647268000001</v>
      </c>
      <c r="AC23" s="346">
        <f t="shared" si="5"/>
        <v>5108.876</v>
      </c>
      <c r="AD23" s="347"/>
      <c r="AE23" s="363"/>
      <c r="AF23" s="363"/>
      <c r="AG23" s="363"/>
      <c r="AH23" s="363"/>
      <c r="AI23" s="363"/>
      <c r="AJ23" s="363"/>
      <c r="AK23" s="363"/>
      <c r="AL23" s="363"/>
      <c r="AM23" s="363"/>
      <c r="AN23" s="348">
        <f t="shared" si="9"/>
        <v>0</v>
      </c>
      <c r="AO23" s="348">
        <f t="shared" si="9"/>
        <v>0</v>
      </c>
      <c r="AP23" s="349">
        <f t="shared" si="6"/>
        <v>5382.647268000001</v>
      </c>
      <c r="AQ23" s="350">
        <f t="shared" si="7"/>
        <v>5108.876</v>
      </c>
      <c r="AR23" s="27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213"/>
      <c r="CL23" s="213"/>
      <c r="CM23" s="213"/>
      <c r="CN23" s="213"/>
      <c r="CO23" s="213"/>
      <c r="CP23" s="213"/>
      <c r="CQ23" s="213"/>
      <c r="CR23" s="213"/>
      <c r="CS23" s="213"/>
      <c r="CT23" s="213"/>
      <c r="CU23" s="213"/>
      <c r="CV23" s="213"/>
      <c r="CW23" s="213"/>
      <c r="CX23" s="213"/>
      <c r="CY23" s="213"/>
      <c r="CZ23" s="214"/>
      <c r="DA23" s="214"/>
      <c r="DB23" s="214"/>
      <c r="DC23" s="214"/>
      <c r="DD23" s="214"/>
      <c r="DE23" s="214"/>
      <c r="DF23" s="214"/>
      <c r="DG23" s="214"/>
      <c r="DH23" s="214"/>
      <c r="DI23" s="214"/>
      <c r="DJ23" s="214"/>
      <c r="DK23" s="214"/>
      <c r="DL23" s="214"/>
      <c r="DM23" s="214"/>
    </row>
    <row r="24" spans="1:117" s="215" customFormat="1" ht="17.25" customHeight="1" hidden="1">
      <c r="A24" s="279">
        <v>16</v>
      </c>
      <c r="B24" s="334" t="s">
        <v>400</v>
      </c>
      <c r="C24" s="272"/>
      <c r="D24" s="272"/>
      <c r="E24" s="272"/>
      <c r="F24" s="272"/>
      <c r="G24" s="351"/>
      <c r="H24" s="273"/>
      <c r="I24" s="372">
        <v>4208.935517</v>
      </c>
      <c r="J24" s="372"/>
      <c r="K24" s="372"/>
      <c r="L24" s="372"/>
      <c r="M24" s="372"/>
      <c r="N24" s="372">
        <v>0</v>
      </c>
      <c r="O24" s="372">
        <v>0</v>
      </c>
      <c r="P24" s="289"/>
      <c r="Q24" s="337"/>
      <c r="R24" s="337"/>
      <c r="S24" s="337"/>
      <c r="T24" s="337"/>
      <c r="U24" s="337"/>
      <c r="V24" s="337"/>
      <c r="W24" s="337"/>
      <c r="X24" s="345"/>
      <c r="Y24" s="345"/>
      <c r="Z24" s="341">
        <f t="shared" si="8"/>
        <v>0</v>
      </c>
      <c r="AA24" s="341">
        <f>S24+U24+W24+Y24</f>
        <v>0</v>
      </c>
      <c r="AB24" s="341">
        <f t="shared" si="4"/>
        <v>0</v>
      </c>
      <c r="AC24" s="376">
        <f t="shared" si="5"/>
        <v>0</v>
      </c>
      <c r="AD24" s="363"/>
      <c r="AE24" s="363"/>
      <c r="AF24" s="363"/>
      <c r="AG24" s="363"/>
      <c r="AH24" s="363"/>
      <c r="AI24" s="363"/>
      <c r="AJ24" s="363"/>
      <c r="AK24" s="363"/>
      <c r="AL24" s="363"/>
      <c r="AM24" s="363"/>
      <c r="AN24" s="348">
        <f t="shared" si="9"/>
        <v>0</v>
      </c>
      <c r="AO24" s="348">
        <f t="shared" si="9"/>
        <v>0</v>
      </c>
      <c r="AP24" s="349">
        <f t="shared" si="6"/>
        <v>0</v>
      </c>
      <c r="AQ24" s="350">
        <f t="shared" si="7"/>
        <v>0</v>
      </c>
      <c r="AR24" s="27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c r="CL24" s="213"/>
      <c r="CM24" s="213"/>
      <c r="CN24" s="213"/>
      <c r="CO24" s="213"/>
      <c r="CP24" s="213"/>
      <c r="CQ24" s="213"/>
      <c r="CR24" s="213"/>
      <c r="CS24" s="213"/>
      <c r="CT24" s="213"/>
      <c r="CU24" s="213"/>
      <c r="CV24" s="213"/>
      <c r="CW24" s="213"/>
      <c r="CX24" s="213"/>
      <c r="CY24" s="213"/>
      <c r="CZ24" s="214"/>
      <c r="DA24" s="214"/>
      <c r="DB24" s="214"/>
      <c r="DC24" s="214"/>
      <c r="DD24" s="214"/>
      <c r="DE24" s="214"/>
      <c r="DF24" s="214"/>
      <c r="DG24" s="214"/>
      <c r="DH24" s="214"/>
      <c r="DI24" s="214"/>
      <c r="DJ24" s="214"/>
      <c r="DK24" s="214"/>
      <c r="DL24" s="214"/>
      <c r="DM24" s="214"/>
    </row>
    <row r="25" spans="1:117" s="215" customFormat="1" ht="24" customHeight="1">
      <c r="A25" s="274">
        <v>2</v>
      </c>
      <c r="B25" s="275" t="s">
        <v>506</v>
      </c>
      <c r="C25" s="272"/>
      <c r="D25" s="272"/>
      <c r="E25" s="272"/>
      <c r="F25" s="272"/>
      <c r="G25" s="276">
        <f>SUM(G26:G29)</f>
        <v>3500</v>
      </c>
      <c r="H25" s="273"/>
      <c r="I25" s="276">
        <f>SUM(I26:I29)</f>
        <v>3500</v>
      </c>
      <c r="J25" s="276">
        <v>900</v>
      </c>
      <c r="K25" s="276">
        <v>2000</v>
      </c>
      <c r="L25" s="276"/>
      <c r="M25" s="276"/>
      <c r="N25" s="372"/>
      <c r="O25" s="372"/>
      <c r="P25" s="289"/>
      <c r="Q25" s="337">
        <f>J25+K25+L25</f>
        <v>2900</v>
      </c>
      <c r="R25" s="337"/>
      <c r="S25" s="337"/>
      <c r="T25" s="337"/>
      <c r="U25" s="337"/>
      <c r="V25" s="337"/>
      <c r="W25" s="337"/>
      <c r="X25" s="345"/>
      <c r="Y25" s="345"/>
      <c r="Z25" s="341"/>
      <c r="AA25" s="341"/>
      <c r="AB25" s="341"/>
      <c r="AC25" s="376"/>
      <c r="AD25" s="363"/>
      <c r="AE25" s="363"/>
      <c r="AF25" s="363"/>
      <c r="AG25" s="363"/>
      <c r="AH25" s="363"/>
      <c r="AI25" s="363"/>
      <c r="AJ25" s="363"/>
      <c r="AK25" s="363"/>
      <c r="AL25" s="363"/>
      <c r="AM25" s="363"/>
      <c r="AN25" s="348"/>
      <c r="AO25" s="348"/>
      <c r="AP25" s="349"/>
      <c r="AQ25" s="350">
        <f>Q25</f>
        <v>2900</v>
      </c>
      <c r="AR25" s="273" t="s">
        <v>522</v>
      </c>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c r="BX25" s="213"/>
      <c r="BY25" s="213"/>
      <c r="BZ25" s="213"/>
      <c r="CA25" s="213"/>
      <c r="CB25" s="213"/>
      <c r="CC25" s="213"/>
      <c r="CD25" s="213"/>
      <c r="CE25" s="213"/>
      <c r="CF25" s="213"/>
      <c r="CG25" s="213"/>
      <c r="CH25" s="213"/>
      <c r="CI25" s="213"/>
      <c r="CJ25" s="213"/>
      <c r="CK25" s="213"/>
      <c r="CL25" s="213"/>
      <c r="CM25" s="213"/>
      <c r="CN25" s="213"/>
      <c r="CO25" s="213"/>
      <c r="CP25" s="213"/>
      <c r="CQ25" s="213"/>
      <c r="CR25" s="213"/>
      <c r="CS25" s="213"/>
      <c r="CT25" s="213"/>
      <c r="CU25" s="213"/>
      <c r="CV25" s="213"/>
      <c r="CW25" s="213"/>
      <c r="CX25" s="213"/>
      <c r="CY25" s="213"/>
      <c r="CZ25" s="214"/>
      <c r="DA25" s="214"/>
      <c r="DB25" s="214"/>
      <c r="DC25" s="214"/>
      <c r="DD25" s="214"/>
      <c r="DE25" s="214"/>
      <c r="DF25" s="214"/>
      <c r="DG25" s="214"/>
      <c r="DH25" s="214"/>
      <c r="DI25" s="214"/>
      <c r="DJ25" s="214"/>
      <c r="DK25" s="214"/>
      <c r="DL25" s="214"/>
      <c r="DM25" s="214"/>
    </row>
    <row r="26" spans="1:117" s="215" customFormat="1" ht="17.25" customHeight="1" hidden="1">
      <c r="A26" s="274">
        <v>1</v>
      </c>
      <c r="B26" s="275" t="s">
        <v>406</v>
      </c>
      <c r="C26" s="272"/>
      <c r="D26" s="272"/>
      <c r="E26" s="272"/>
      <c r="F26" s="272"/>
      <c r="G26" s="276">
        <v>1970</v>
      </c>
      <c r="H26" s="273"/>
      <c r="I26" s="276">
        <v>1970</v>
      </c>
      <c r="J26" s="276"/>
      <c r="K26" s="276"/>
      <c r="L26" s="276"/>
      <c r="M26" s="276"/>
      <c r="N26" s="372"/>
      <c r="O26" s="372"/>
      <c r="P26" s="289"/>
      <c r="Q26" s="337"/>
      <c r="R26" s="337"/>
      <c r="S26" s="337"/>
      <c r="T26" s="337"/>
      <c r="U26" s="337"/>
      <c r="V26" s="337"/>
      <c r="W26" s="337"/>
      <c r="X26" s="345"/>
      <c r="Y26" s="345"/>
      <c r="Z26" s="341"/>
      <c r="AA26" s="341"/>
      <c r="AB26" s="341"/>
      <c r="AC26" s="376"/>
      <c r="AD26" s="363"/>
      <c r="AE26" s="363"/>
      <c r="AF26" s="363"/>
      <c r="AG26" s="363"/>
      <c r="AH26" s="363"/>
      <c r="AI26" s="363"/>
      <c r="AJ26" s="363"/>
      <c r="AK26" s="363"/>
      <c r="AL26" s="363"/>
      <c r="AM26" s="363"/>
      <c r="AN26" s="348"/>
      <c r="AO26" s="348"/>
      <c r="AP26" s="349"/>
      <c r="AQ26" s="350"/>
      <c r="AR26" s="27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3"/>
      <c r="CN26" s="213"/>
      <c r="CO26" s="213"/>
      <c r="CP26" s="213"/>
      <c r="CQ26" s="213"/>
      <c r="CR26" s="213"/>
      <c r="CS26" s="213"/>
      <c r="CT26" s="213"/>
      <c r="CU26" s="213"/>
      <c r="CV26" s="213"/>
      <c r="CW26" s="213"/>
      <c r="CX26" s="213"/>
      <c r="CY26" s="213"/>
      <c r="CZ26" s="214"/>
      <c r="DA26" s="214"/>
      <c r="DB26" s="214"/>
      <c r="DC26" s="214"/>
      <c r="DD26" s="214"/>
      <c r="DE26" s="214"/>
      <c r="DF26" s="214"/>
      <c r="DG26" s="214"/>
      <c r="DH26" s="214"/>
      <c r="DI26" s="214"/>
      <c r="DJ26" s="214"/>
      <c r="DK26" s="214"/>
      <c r="DL26" s="214"/>
      <c r="DM26" s="214"/>
    </row>
    <row r="27" spans="1:117" s="215" customFormat="1" ht="17.25" customHeight="1" hidden="1">
      <c r="A27" s="274">
        <v>2</v>
      </c>
      <c r="B27" s="275" t="s">
        <v>491</v>
      </c>
      <c r="C27" s="272"/>
      <c r="D27" s="272"/>
      <c r="E27" s="272"/>
      <c r="F27" s="272"/>
      <c r="G27" s="276">
        <v>1000</v>
      </c>
      <c r="H27" s="273"/>
      <c r="I27" s="276">
        <v>1000</v>
      </c>
      <c r="J27" s="276"/>
      <c r="K27" s="276"/>
      <c r="L27" s="276"/>
      <c r="M27" s="276"/>
      <c r="N27" s="372"/>
      <c r="O27" s="372"/>
      <c r="P27" s="289"/>
      <c r="Q27" s="337"/>
      <c r="R27" s="337"/>
      <c r="S27" s="337"/>
      <c r="T27" s="337"/>
      <c r="U27" s="337"/>
      <c r="V27" s="337"/>
      <c r="W27" s="337"/>
      <c r="X27" s="345"/>
      <c r="Y27" s="345"/>
      <c r="Z27" s="341"/>
      <c r="AA27" s="341"/>
      <c r="AB27" s="341"/>
      <c r="AC27" s="376"/>
      <c r="AD27" s="363"/>
      <c r="AE27" s="363"/>
      <c r="AF27" s="363"/>
      <c r="AG27" s="363"/>
      <c r="AH27" s="363"/>
      <c r="AI27" s="363"/>
      <c r="AJ27" s="363"/>
      <c r="AK27" s="363"/>
      <c r="AL27" s="363"/>
      <c r="AM27" s="363"/>
      <c r="AN27" s="348"/>
      <c r="AO27" s="348"/>
      <c r="AP27" s="349"/>
      <c r="AQ27" s="350"/>
      <c r="AR27" s="27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A27" s="213"/>
      <c r="CB27" s="213"/>
      <c r="CC27" s="213"/>
      <c r="CD27" s="213"/>
      <c r="CE27" s="213"/>
      <c r="CF27" s="213"/>
      <c r="CG27" s="213"/>
      <c r="CH27" s="213"/>
      <c r="CI27" s="213"/>
      <c r="CJ27" s="213"/>
      <c r="CK27" s="213"/>
      <c r="CL27" s="213"/>
      <c r="CM27" s="213"/>
      <c r="CN27" s="213"/>
      <c r="CO27" s="213"/>
      <c r="CP27" s="213"/>
      <c r="CQ27" s="213"/>
      <c r="CR27" s="213"/>
      <c r="CS27" s="213"/>
      <c r="CT27" s="213"/>
      <c r="CU27" s="213"/>
      <c r="CV27" s="213"/>
      <c r="CW27" s="213"/>
      <c r="CX27" s="213"/>
      <c r="CY27" s="213"/>
      <c r="CZ27" s="214"/>
      <c r="DA27" s="214"/>
      <c r="DB27" s="214"/>
      <c r="DC27" s="214"/>
      <c r="DD27" s="214"/>
      <c r="DE27" s="214"/>
      <c r="DF27" s="214"/>
      <c r="DG27" s="214"/>
      <c r="DH27" s="214"/>
      <c r="DI27" s="214"/>
      <c r="DJ27" s="214"/>
      <c r="DK27" s="214"/>
      <c r="DL27" s="214"/>
      <c r="DM27" s="214"/>
    </row>
    <row r="28" spans="1:117" s="215" customFormat="1" ht="17.25" customHeight="1" hidden="1">
      <c r="A28" s="274">
        <v>3</v>
      </c>
      <c r="B28" s="275" t="s">
        <v>399</v>
      </c>
      <c r="C28" s="272"/>
      <c r="D28" s="272"/>
      <c r="E28" s="272"/>
      <c r="F28" s="272"/>
      <c r="G28" s="276">
        <f>3500-G26-G27-181</f>
        <v>349</v>
      </c>
      <c r="H28" s="273"/>
      <c r="I28" s="276">
        <f>3500-I26-I27-181</f>
        <v>349</v>
      </c>
      <c r="J28" s="276"/>
      <c r="K28" s="276"/>
      <c r="L28" s="276"/>
      <c r="M28" s="276"/>
      <c r="N28" s="372"/>
      <c r="O28" s="372"/>
      <c r="P28" s="289"/>
      <c r="Q28" s="337"/>
      <c r="R28" s="337"/>
      <c r="S28" s="337"/>
      <c r="T28" s="337"/>
      <c r="U28" s="337"/>
      <c r="V28" s="337"/>
      <c r="W28" s="337"/>
      <c r="X28" s="345"/>
      <c r="Y28" s="345"/>
      <c r="Z28" s="341"/>
      <c r="AA28" s="341"/>
      <c r="AB28" s="341"/>
      <c r="AC28" s="376"/>
      <c r="AD28" s="363"/>
      <c r="AE28" s="363"/>
      <c r="AF28" s="363"/>
      <c r="AG28" s="363"/>
      <c r="AH28" s="363"/>
      <c r="AI28" s="363"/>
      <c r="AJ28" s="363"/>
      <c r="AK28" s="363"/>
      <c r="AL28" s="363"/>
      <c r="AM28" s="363"/>
      <c r="AN28" s="348"/>
      <c r="AO28" s="348"/>
      <c r="AP28" s="349"/>
      <c r="AQ28" s="350"/>
      <c r="AR28" s="27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213"/>
      <c r="BW28" s="213"/>
      <c r="BX28" s="213"/>
      <c r="BY28" s="213"/>
      <c r="BZ28" s="213"/>
      <c r="CA28" s="213"/>
      <c r="CB28" s="213"/>
      <c r="CC28" s="213"/>
      <c r="CD28" s="213"/>
      <c r="CE28" s="213"/>
      <c r="CF28" s="213"/>
      <c r="CG28" s="213"/>
      <c r="CH28" s="213"/>
      <c r="CI28" s="213"/>
      <c r="CJ28" s="213"/>
      <c r="CK28" s="213"/>
      <c r="CL28" s="213"/>
      <c r="CM28" s="213"/>
      <c r="CN28" s="213"/>
      <c r="CO28" s="213"/>
      <c r="CP28" s="213"/>
      <c r="CQ28" s="213"/>
      <c r="CR28" s="213"/>
      <c r="CS28" s="213"/>
      <c r="CT28" s="213"/>
      <c r="CU28" s="213"/>
      <c r="CV28" s="213"/>
      <c r="CW28" s="213"/>
      <c r="CX28" s="213"/>
      <c r="CY28" s="213"/>
      <c r="CZ28" s="214"/>
      <c r="DA28" s="214"/>
      <c r="DB28" s="214"/>
      <c r="DC28" s="214"/>
      <c r="DD28" s="214"/>
      <c r="DE28" s="214"/>
      <c r="DF28" s="214"/>
      <c r="DG28" s="214"/>
      <c r="DH28" s="214"/>
      <c r="DI28" s="214"/>
      <c r="DJ28" s="214"/>
      <c r="DK28" s="214"/>
      <c r="DL28" s="214"/>
      <c r="DM28" s="214"/>
    </row>
    <row r="29" spans="1:117" s="215" customFormat="1" ht="17.25" customHeight="1" hidden="1">
      <c r="A29" s="274">
        <v>4</v>
      </c>
      <c r="B29" s="277" t="s">
        <v>400</v>
      </c>
      <c r="C29" s="272"/>
      <c r="D29" s="272"/>
      <c r="E29" s="272"/>
      <c r="F29" s="272"/>
      <c r="G29" s="276">
        <v>181</v>
      </c>
      <c r="H29" s="273"/>
      <c r="I29" s="276">
        <v>181</v>
      </c>
      <c r="J29" s="276"/>
      <c r="K29" s="276"/>
      <c r="L29" s="276"/>
      <c r="M29" s="276"/>
      <c r="N29" s="372"/>
      <c r="O29" s="372"/>
      <c r="P29" s="289"/>
      <c r="Q29" s="337"/>
      <c r="R29" s="337"/>
      <c r="S29" s="337"/>
      <c r="T29" s="337"/>
      <c r="U29" s="337"/>
      <c r="V29" s="337"/>
      <c r="W29" s="337"/>
      <c r="X29" s="345"/>
      <c r="Y29" s="345"/>
      <c r="Z29" s="341"/>
      <c r="AA29" s="341"/>
      <c r="AB29" s="341"/>
      <c r="AC29" s="376"/>
      <c r="AD29" s="363"/>
      <c r="AE29" s="363"/>
      <c r="AF29" s="363"/>
      <c r="AG29" s="363"/>
      <c r="AH29" s="363"/>
      <c r="AI29" s="363"/>
      <c r="AJ29" s="363"/>
      <c r="AK29" s="363"/>
      <c r="AL29" s="363"/>
      <c r="AM29" s="363"/>
      <c r="AN29" s="348"/>
      <c r="AO29" s="348"/>
      <c r="AP29" s="349"/>
      <c r="AQ29" s="350"/>
      <c r="AR29" s="27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c r="CI29" s="213"/>
      <c r="CJ29" s="213"/>
      <c r="CK29" s="213"/>
      <c r="CL29" s="213"/>
      <c r="CM29" s="213"/>
      <c r="CN29" s="213"/>
      <c r="CO29" s="213"/>
      <c r="CP29" s="213"/>
      <c r="CQ29" s="213"/>
      <c r="CR29" s="213"/>
      <c r="CS29" s="213"/>
      <c r="CT29" s="213"/>
      <c r="CU29" s="213"/>
      <c r="CV29" s="213"/>
      <c r="CW29" s="213"/>
      <c r="CX29" s="213"/>
      <c r="CY29" s="213"/>
      <c r="CZ29" s="214"/>
      <c r="DA29" s="214"/>
      <c r="DB29" s="214"/>
      <c r="DC29" s="214"/>
      <c r="DD29" s="214"/>
      <c r="DE29" s="214"/>
      <c r="DF29" s="214"/>
      <c r="DG29" s="214"/>
      <c r="DH29" s="214"/>
      <c r="DI29" s="214"/>
      <c r="DJ29" s="214"/>
      <c r="DK29" s="214"/>
      <c r="DL29" s="214"/>
      <c r="DM29" s="214"/>
    </row>
    <row r="30" spans="1:117" s="215" customFormat="1" ht="36" customHeight="1">
      <c r="A30" s="279">
        <v>3</v>
      </c>
      <c r="B30" s="277" t="s">
        <v>507</v>
      </c>
      <c r="C30" s="272"/>
      <c r="D30" s="272"/>
      <c r="E30" s="278" t="s">
        <v>508</v>
      </c>
      <c r="F30" s="272" t="s">
        <v>509</v>
      </c>
      <c r="G30" s="276">
        <f>SUM(G31:G33)</f>
        <v>1400.004906</v>
      </c>
      <c r="H30" s="272" t="s">
        <v>510</v>
      </c>
      <c r="I30" s="276">
        <f>SUM(I31:I33)</f>
        <v>1529.998</v>
      </c>
      <c r="J30" s="276">
        <v>400</v>
      </c>
      <c r="K30" s="276">
        <v>1000</v>
      </c>
      <c r="L30" s="276"/>
      <c r="M30" s="276"/>
      <c r="N30" s="372"/>
      <c r="O30" s="372"/>
      <c r="P30" s="289"/>
      <c r="Q30" s="337">
        <f>J30+K30+L30</f>
        <v>1400</v>
      </c>
      <c r="R30" s="337"/>
      <c r="S30" s="337"/>
      <c r="T30" s="337"/>
      <c r="U30" s="337"/>
      <c r="V30" s="337"/>
      <c r="W30" s="337"/>
      <c r="X30" s="345"/>
      <c r="Y30" s="345"/>
      <c r="Z30" s="341"/>
      <c r="AA30" s="341"/>
      <c r="AB30" s="341"/>
      <c r="AC30" s="376"/>
      <c r="AD30" s="363"/>
      <c r="AE30" s="363"/>
      <c r="AF30" s="363"/>
      <c r="AG30" s="363"/>
      <c r="AH30" s="363"/>
      <c r="AI30" s="363"/>
      <c r="AJ30" s="363"/>
      <c r="AK30" s="363"/>
      <c r="AL30" s="363"/>
      <c r="AM30" s="363"/>
      <c r="AN30" s="348"/>
      <c r="AO30" s="348"/>
      <c r="AP30" s="349"/>
      <c r="AQ30" s="350">
        <f>Q30</f>
        <v>1400</v>
      </c>
      <c r="AR30" s="273" t="s">
        <v>522</v>
      </c>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213"/>
      <c r="CD30" s="213"/>
      <c r="CE30" s="213"/>
      <c r="CF30" s="213"/>
      <c r="CG30" s="213"/>
      <c r="CH30" s="213"/>
      <c r="CI30" s="213"/>
      <c r="CJ30" s="213"/>
      <c r="CK30" s="213"/>
      <c r="CL30" s="213"/>
      <c r="CM30" s="213"/>
      <c r="CN30" s="213"/>
      <c r="CO30" s="213"/>
      <c r="CP30" s="213"/>
      <c r="CQ30" s="213"/>
      <c r="CR30" s="213"/>
      <c r="CS30" s="213"/>
      <c r="CT30" s="213"/>
      <c r="CU30" s="213"/>
      <c r="CV30" s="213"/>
      <c r="CW30" s="213"/>
      <c r="CX30" s="213"/>
      <c r="CY30" s="213"/>
      <c r="CZ30" s="214"/>
      <c r="DA30" s="214"/>
      <c r="DB30" s="214"/>
      <c r="DC30" s="214"/>
      <c r="DD30" s="214"/>
      <c r="DE30" s="214"/>
      <c r="DF30" s="214"/>
      <c r="DG30" s="214"/>
      <c r="DH30" s="214"/>
      <c r="DI30" s="214"/>
      <c r="DJ30" s="214"/>
      <c r="DK30" s="214"/>
      <c r="DL30" s="214"/>
      <c r="DM30" s="214"/>
    </row>
    <row r="31" spans="1:117" s="215" customFormat="1" ht="17.25" customHeight="1" hidden="1">
      <c r="A31" s="279">
        <v>1</v>
      </c>
      <c r="B31" s="277" t="s">
        <v>406</v>
      </c>
      <c r="C31" s="272"/>
      <c r="D31" s="272"/>
      <c r="E31" s="272"/>
      <c r="F31" s="272"/>
      <c r="G31" s="276">
        <v>1129.634906</v>
      </c>
      <c r="H31" s="273"/>
      <c r="I31" s="276">
        <v>1303.342</v>
      </c>
      <c r="J31" s="276"/>
      <c r="K31" s="276"/>
      <c r="L31" s="276"/>
      <c r="M31" s="276"/>
      <c r="N31" s="372"/>
      <c r="O31" s="372"/>
      <c r="P31" s="289"/>
      <c r="Q31" s="337"/>
      <c r="R31" s="337"/>
      <c r="S31" s="337"/>
      <c r="T31" s="337"/>
      <c r="U31" s="337"/>
      <c r="V31" s="337"/>
      <c r="W31" s="337"/>
      <c r="X31" s="345"/>
      <c r="Y31" s="345"/>
      <c r="Z31" s="341"/>
      <c r="AA31" s="341"/>
      <c r="AB31" s="341"/>
      <c r="AC31" s="376"/>
      <c r="AD31" s="363"/>
      <c r="AE31" s="363"/>
      <c r="AF31" s="363"/>
      <c r="AG31" s="363"/>
      <c r="AH31" s="363"/>
      <c r="AI31" s="363"/>
      <c r="AJ31" s="363"/>
      <c r="AK31" s="363"/>
      <c r="AL31" s="363"/>
      <c r="AM31" s="363"/>
      <c r="AN31" s="348"/>
      <c r="AO31" s="348"/>
      <c r="AP31" s="349"/>
      <c r="AQ31" s="350"/>
      <c r="AR31" s="27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c r="CC31" s="213"/>
      <c r="CD31" s="213"/>
      <c r="CE31" s="213"/>
      <c r="CF31" s="213"/>
      <c r="CG31" s="213"/>
      <c r="CH31" s="213"/>
      <c r="CI31" s="213"/>
      <c r="CJ31" s="213"/>
      <c r="CK31" s="213"/>
      <c r="CL31" s="213"/>
      <c r="CM31" s="213"/>
      <c r="CN31" s="213"/>
      <c r="CO31" s="213"/>
      <c r="CP31" s="213"/>
      <c r="CQ31" s="213"/>
      <c r="CR31" s="213"/>
      <c r="CS31" s="213"/>
      <c r="CT31" s="213"/>
      <c r="CU31" s="213"/>
      <c r="CV31" s="213"/>
      <c r="CW31" s="213"/>
      <c r="CX31" s="213"/>
      <c r="CY31" s="213"/>
      <c r="CZ31" s="214"/>
      <c r="DA31" s="214"/>
      <c r="DB31" s="214"/>
      <c r="DC31" s="214"/>
      <c r="DD31" s="214"/>
      <c r="DE31" s="214"/>
      <c r="DF31" s="214"/>
      <c r="DG31" s="214"/>
      <c r="DH31" s="214"/>
      <c r="DI31" s="214"/>
      <c r="DJ31" s="214"/>
      <c r="DK31" s="214"/>
      <c r="DL31" s="214"/>
      <c r="DM31" s="214"/>
    </row>
    <row r="32" spans="1:117" s="215" customFormat="1" ht="17.25" customHeight="1" hidden="1">
      <c r="A32" s="279">
        <v>2</v>
      </c>
      <c r="B32" s="277" t="s">
        <v>399</v>
      </c>
      <c r="C32" s="272"/>
      <c r="D32" s="272"/>
      <c r="E32" s="272"/>
      <c r="F32" s="272"/>
      <c r="G32" s="276">
        <f>25.92+108.9+29.44</f>
        <v>164.26</v>
      </c>
      <c r="H32" s="273"/>
      <c r="I32" s="276">
        <f>29.905+105.645+20.347</f>
        <v>155.89700000000002</v>
      </c>
      <c r="J32" s="276"/>
      <c r="K32" s="276"/>
      <c r="L32" s="276"/>
      <c r="M32" s="276"/>
      <c r="N32" s="372"/>
      <c r="O32" s="372"/>
      <c r="P32" s="289"/>
      <c r="Q32" s="337"/>
      <c r="R32" s="337"/>
      <c r="S32" s="337"/>
      <c r="T32" s="337"/>
      <c r="U32" s="337"/>
      <c r="V32" s="337"/>
      <c r="W32" s="337"/>
      <c r="X32" s="345"/>
      <c r="Y32" s="345"/>
      <c r="Z32" s="341"/>
      <c r="AA32" s="341"/>
      <c r="AB32" s="341"/>
      <c r="AC32" s="376"/>
      <c r="AD32" s="363"/>
      <c r="AE32" s="363"/>
      <c r="AF32" s="363"/>
      <c r="AG32" s="363"/>
      <c r="AH32" s="363"/>
      <c r="AI32" s="363"/>
      <c r="AJ32" s="363"/>
      <c r="AK32" s="363"/>
      <c r="AL32" s="363"/>
      <c r="AM32" s="363"/>
      <c r="AN32" s="348"/>
      <c r="AO32" s="348"/>
      <c r="AP32" s="349"/>
      <c r="AQ32" s="350"/>
      <c r="AR32" s="27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213"/>
      <c r="CB32" s="213"/>
      <c r="CC32" s="213"/>
      <c r="CD32" s="213"/>
      <c r="CE32" s="213"/>
      <c r="CF32" s="213"/>
      <c r="CG32" s="213"/>
      <c r="CH32" s="213"/>
      <c r="CI32" s="213"/>
      <c r="CJ32" s="213"/>
      <c r="CK32" s="213"/>
      <c r="CL32" s="213"/>
      <c r="CM32" s="213"/>
      <c r="CN32" s="213"/>
      <c r="CO32" s="213"/>
      <c r="CP32" s="213"/>
      <c r="CQ32" s="213"/>
      <c r="CR32" s="213"/>
      <c r="CS32" s="213"/>
      <c r="CT32" s="213"/>
      <c r="CU32" s="213"/>
      <c r="CV32" s="213"/>
      <c r="CW32" s="213"/>
      <c r="CX32" s="213"/>
      <c r="CY32" s="213"/>
      <c r="CZ32" s="214"/>
      <c r="DA32" s="214"/>
      <c r="DB32" s="214"/>
      <c r="DC32" s="214"/>
      <c r="DD32" s="214"/>
      <c r="DE32" s="214"/>
      <c r="DF32" s="214"/>
      <c r="DG32" s="214"/>
      <c r="DH32" s="214"/>
      <c r="DI32" s="214"/>
      <c r="DJ32" s="214"/>
      <c r="DK32" s="214"/>
      <c r="DL32" s="214"/>
      <c r="DM32" s="214"/>
    </row>
    <row r="33" spans="1:117" s="215" customFormat="1" ht="17.25" customHeight="1" hidden="1">
      <c r="A33" s="279">
        <v>3</v>
      </c>
      <c r="B33" s="277" t="s">
        <v>400</v>
      </c>
      <c r="C33" s="272"/>
      <c r="D33" s="272"/>
      <c r="E33" s="272"/>
      <c r="F33" s="272"/>
      <c r="G33" s="276">
        <v>106.11</v>
      </c>
      <c r="H33" s="273"/>
      <c r="I33" s="276">
        <v>70.759</v>
      </c>
      <c r="J33" s="276"/>
      <c r="K33" s="276"/>
      <c r="L33" s="276"/>
      <c r="M33" s="276"/>
      <c r="N33" s="372"/>
      <c r="O33" s="372"/>
      <c r="P33" s="289"/>
      <c r="Q33" s="337"/>
      <c r="R33" s="337"/>
      <c r="S33" s="337"/>
      <c r="T33" s="337"/>
      <c r="U33" s="337"/>
      <c r="V33" s="337"/>
      <c r="W33" s="337"/>
      <c r="X33" s="345"/>
      <c r="Y33" s="345"/>
      <c r="Z33" s="341"/>
      <c r="AA33" s="341"/>
      <c r="AB33" s="341"/>
      <c r="AC33" s="376"/>
      <c r="AD33" s="363"/>
      <c r="AE33" s="363"/>
      <c r="AF33" s="363"/>
      <c r="AG33" s="363"/>
      <c r="AH33" s="363"/>
      <c r="AI33" s="363"/>
      <c r="AJ33" s="363"/>
      <c r="AK33" s="363"/>
      <c r="AL33" s="363"/>
      <c r="AM33" s="363"/>
      <c r="AN33" s="348"/>
      <c r="AO33" s="348"/>
      <c r="AP33" s="349"/>
      <c r="AQ33" s="350"/>
      <c r="AR33" s="27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4"/>
      <c r="DA33" s="214"/>
      <c r="DB33" s="214"/>
      <c r="DC33" s="214"/>
      <c r="DD33" s="214"/>
      <c r="DE33" s="214"/>
      <c r="DF33" s="214"/>
      <c r="DG33" s="214"/>
      <c r="DH33" s="214"/>
      <c r="DI33" s="214"/>
      <c r="DJ33" s="214"/>
      <c r="DK33" s="214"/>
      <c r="DL33" s="214"/>
      <c r="DM33" s="214"/>
    </row>
    <row r="34" spans="1:117" s="215" customFormat="1" ht="81" customHeight="1">
      <c r="A34" s="279">
        <v>4</v>
      </c>
      <c r="B34" s="334" t="s">
        <v>401</v>
      </c>
      <c r="C34" s="272" t="s">
        <v>402</v>
      </c>
      <c r="D34" s="272"/>
      <c r="E34" s="272" t="s">
        <v>403</v>
      </c>
      <c r="F34" s="272" t="s">
        <v>404</v>
      </c>
      <c r="G34" s="336">
        <f>G35+G36+G37+G38+G45+G46</f>
        <v>20000</v>
      </c>
      <c r="H34" s="337" t="s">
        <v>405</v>
      </c>
      <c r="I34" s="337">
        <f>I35+I36+I37+I38+I45+I46</f>
        <v>20000.005328</v>
      </c>
      <c r="J34" s="337"/>
      <c r="K34" s="337"/>
      <c r="L34" s="337">
        <v>20000</v>
      </c>
      <c r="M34" s="337"/>
      <c r="N34" s="337">
        <f aca="true" t="shared" si="10" ref="N34:AQ34">N35+N36+N37+N38+N45+N46</f>
        <v>0</v>
      </c>
      <c r="O34" s="337">
        <f t="shared" si="10"/>
        <v>0</v>
      </c>
      <c r="P34" s="337">
        <f t="shared" si="10"/>
        <v>0</v>
      </c>
      <c r="Q34" s="337">
        <f>J34+K34+L34+M34</f>
        <v>20000</v>
      </c>
      <c r="R34" s="337">
        <f t="shared" si="10"/>
        <v>0</v>
      </c>
      <c r="S34" s="337">
        <f t="shared" si="10"/>
        <v>0</v>
      </c>
      <c r="T34" s="337">
        <f t="shared" si="10"/>
        <v>0</v>
      </c>
      <c r="U34" s="337">
        <f t="shared" si="10"/>
        <v>0</v>
      </c>
      <c r="V34" s="337">
        <f t="shared" si="10"/>
        <v>0</v>
      </c>
      <c r="W34" s="337">
        <f t="shared" si="10"/>
        <v>0</v>
      </c>
      <c r="X34" s="337">
        <f t="shared" si="10"/>
        <v>275.212</v>
      </c>
      <c r="Y34" s="337">
        <f t="shared" si="10"/>
        <v>6000</v>
      </c>
      <c r="Z34" s="337">
        <f t="shared" si="10"/>
        <v>275.212</v>
      </c>
      <c r="AA34" s="337">
        <f t="shared" si="10"/>
        <v>6000</v>
      </c>
      <c r="AB34" s="377">
        <f t="shared" si="10"/>
        <v>275.212</v>
      </c>
      <c r="AC34" s="377">
        <f t="shared" si="10"/>
        <v>6000</v>
      </c>
      <c r="AD34" s="372">
        <v>0</v>
      </c>
      <c r="AE34" s="337">
        <v>20000</v>
      </c>
      <c r="AF34" s="337">
        <f>AF35+AF36+AF37+AF38+AF45+AF46</f>
        <v>16647.6842054</v>
      </c>
      <c r="AG34" s="337">
        <f t="shared" si="10"/>
        <v>10295.345000000001</v>
      </c>
      <c r="AH34" s="372">
        <f>SUM(AH35:AH46)</f>
        <v>3119.8023752</v>
      </c>
      <c r="AI34" s="372">
        <f>SUM(AI35:AI46)</f>
        <v>3655.7070000000003</v>
      </c>
      <c r="AJ34" s="337">
        <f t="shared" si="10"/>
        <v>0</v>
      </c>
      <c r="AK34" s="337">
        <f t="shared" si="10"/>
        <v>0</v>
      </c>
      <c r="AL34" s="337">
        <f t="shared" si="10"/>
        <v>0</v>
      </c>
      <c r="AM34" s="337">
        <f t="shared" si="10"/>
        <v>0</v>
      </c>
      <c r="AN34" s="351">
        <f t="shared" si="10"/>
        <v>19681.473194</v>
      </c>
      <c r="AO34" s="351">
        <f t="shared" si="10"/>
        <v>13512.769</v>
      </c>
      <c r="AP34" s="336">
        <f>AP35+AP36+AP37+AP38+AP45+AP46</f>
        <v>19956.685194</v>
      </c>
      <c r="AQ34" s="276">
        <f t="shared" si="10"/>
        <v>19512.768999999997</v>
      </c>
      <c r="AR34" s="273" t="s">
        <v>521</v>
      </c>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4"/>
      <c r="DA34" s="214"/>
      <c r="DB34" s="214"/>
      <c r="DC34" s="214"/>
      <c r="DD34" s="214"/>
      <c r="DE34" s="214"/>
      <c r="DF34" s="214"/>
      <c r="DG34" s="214"/>
      <c r="DH34" s="214"/>
      <c r="DI34" s="214"/>
      <c r="DJ34" s="214"/>
      <c r="DK34" s="214"/>
      <c r="DL34" s="214"/>
      <c r="DM34" s="214"/>
    </row>
    <row r="35" spans="1:117" s="215" customFormat="1" ht="17.25" customHeight="1" hidden="1">
      <c r="A35" s="279">
        <v>1</v>
      </c>
      <c r="B35" s="334" t="s">
        <v>406</v>
      </c>
      <c r="C35" s="272"/>
      <c r="D35" s="272"/>
      <c r="E35" s="272"/>
      <c r="F35" s="272"/>
      <c r="G35" s="351">
        <v>17815.531602</v>
      </c>
      <c r="H35" s="273"/>
      <c r="I35" s="372">
        <v>18834.280828</v>
      </c>
      <c r="J35" s="372"/>
      <c r="K35" s="372"/>
      <c r="L35" s="372"/>
      <c r="M35" s="372"/>
      <c r="N35" s="372"/>
      <c r="O35" s="372"/>
      <c r="P35" s="289"/>
      <c r="Q35" s="337"/>
      <c r="R35" s="337"/>
      <c r="S35" s="337"/>
      <c r="T35" s="337"/>
      <c r="U35" s="337"/>
      <c r="V35" s="337"/>
      <c r="W35" s="337"/>
      <c r="X35" s="345"/>
      <c r="Y35" s="378">
        <v>6000</v>
      </c>
      <c r="Z35" s="341">
        <f t="shared" si="8"/>
        <v>0</v>
      </c>
      <c r="AA35" s="341">
        <f>S35+U35+W35+Y35</f>
        <v>6000</v>
      </c>
      <c r="AB35" s="292">
        <f aca="true" t="shared" si="11" ref="AB35:AB46">N35+Z35</f>
        <v>0</v>
      </c>
      <c r="AC35" s="341">
        <f aca="true" t="shared" si="12" ref="AC35:AC46">O35+AA35</f>
        <v>6000</v>
      </c>
      <c r="AD35" s="363"/>
      <c r="AE35" s="363"/>
      <c r="AF35" s="379">
        <v>16033.977</v>
      </c>
      <c r="AG35" s="380">
        <v>10033.977</v>
      </c>
      <c r="AH35" s="363">
        <f>1781.554602+1018.749</f>
        <v>2800.303602</v>
      </c>
      <c r="AI35" s="381">
        <f>2800.301</f>
        <v>2800.301</v>
      </c>
      <c r="AJ35" s="363"/>
      <c r="AK35" s="363"/>
      <c r="AL35" s="363"/>
      <c r="AM35" s="363"/>
      <c r="AN35" s="349">
        <f>AF35+AH35+AJ35+AL35</f>
        <v>18834.280602</v>
      </c>
      <c r="AO35" s="349">
        <f>AG35+AI35+AK35+AM35</f>
        <v>12834.278</v>
      </c>
      <c r="AP35" s="349">
        <f aca="true" t="shared" si="13" ref="AP35:AQ38">AN35+AB35</f>
        <v>18834.280602</v>
      </c>
      <c r="AQ35" s="293">
        <f t="shared" si="13"/>
        <v>18834.278</v>
      </c>
      <c r="AR35" s="382"/>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3"/>
      <c r="BX35" s="213"/>
      <c r="BY35" s="213"/>
      <c r="BZ35" s="213"/>
      <c r="CA35" s="213"/>
      <c r="CB35" s="213"/>
      <c r="CC35" s="213"/>
      <c r="CD35" s="213"/>
      <c r="CE35" s="213"/>
      <c r="CF35" s="213"/>
      <c r="CG35" s="213"/>
      <c r="CH35" s="213"/>
      <c r="CI35" s="213"/>
      <c r="CJ35" s="213"/>
      <c r="CK35" s="213"/>
      <c r="CL35" s="213"/>
      <c r="CM35" s="213"/>
      <c r="CN35" s="213"/>
      <c r="CO35" s="213"/>
      <c r="CP35" s="213"/>
      <c r="CQ35" s="213"/>
      <c r="CR35" s="213"/>
      <c r="CS35" s="213"/>
      <c r="CT35" s="213"/>
      <c r="CU35" s="213"/>
      <c r="CV35" s="213"/>
      <c r="CW35" s="213"/>
      <c r="CX35" s="213"/>
      <c r="CY35" s="213"/>
      <c r="CZ35" s="214"/>
      <c r="DA35" s="214"/>
      <c r="DB35" s="214"/>
      <c r="DC35" s="214"/>
      <c r="DD35" s="214"/>
      <c r="DE35" s="214"/>
      <c r="DF35" s="214"/>
      <c r="DG35" s="214"/>
      <c r="DH35" s="214"/>
      <c r="DI35" s="214"/>
      <c r="DJ35" s="214"/>
      <c r="DK35" s="214"/>
      <c r="DL35" s="214"/>
      <c r="DM35" s="214"/>
    </row>
    <row r="36" spans="1:117" s="215" customFormat="1" ht="17.25" customHeight="1" hidden="1">
      <c r="A36" s="279">
        <v>2</v>
      </c>
      <c r="B36" s="334" t="s">
        <v>407</v>
      </c>
      <c r="C36" s="272"/>
      <c r="D36" s="272"/>
      <c r="E36" s="272"/>
      <c r="F36" s="272"/>
      <c r="G36" s="351">
        <v>287.818508</v>
      </c>
      <c r="H36" s="273"/>
      <c r="I36" s="372"/>
      <c r="J36" s="372"/>
      <c r="K36" s="372"/>
      <c r="L36" s="372"/>
      <c r="M36" s="372"/>
      <c r="N36" s="372"/>
      <c r="O36" s="372"/>
      <c r="P36" s="289"/>
      <c r="Q36" s="337"/>
      <c r="R36" s="337"/>
      <c r="S36" s="337"/>
      <c r="T36" s="337"/>
      <c r="U36" s="337"/>
      <c r="V36" s="337"/>
      <c r="W36" s="337"/>
      <c r="X36" s="345"/>
      <c r="Y36" s="345"/>
      <c r="Z36" s="341">
        <f t="shared" si="8"/>
        <v>0</v>
      </c>
      <c r="AA36" s="341">
        <f>S36+U36+W36+Y36</f>
        <v>0</v>
      </c>
      <c r="AB36" s="292">
        <f t="shared" si="11"/>
        <v>0</v>
      </c>
      <c r="AC36" s="341">
        <f t="shared" si="12"/>
        <v>0</v>
      </c>
      <c r="AD36" s="363"/>
      <c r="AE36" s="363"/>
      <c r="AF36" s="363"/>
      <c r="AG36" s="363"/>
      <c r="AH36" s="363"/>
      <c r="AI36" s="363"/>
      <c r="AJ36" s="363"/>
      <c r="AK36" s="363"/>
      <c r="AL36" s="363"/>
      <c r="AM36" s="363"/>
      <c r="AN36" s="348">
        <f aca="true" t="shared" si="14" ref="AN36:AO46">AF36+AH36+AJ36+AL36</f>
        <v>0</v>
      </c>
      <c r="AO36" s="348">
        <f t="shared" si="14"/>
        <v>0</v>
      </c>
      <c r="AP36" s="349">
        <f t="shared" si="13"/>
        <v>0</v>
      </c>
      <c r="AQ36" s="291">
        <f t="shared" si="13"/>
        <v>0</v>
      </c>
      <c r="AR36" s="27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c r="CL36" s="213"/>
      <c r="CM36" s="213"/>
      <c r="CN36" s="213"/>
      <c r="CO36" s="213"/>
      <c r="CP36" s="213"/>
      <c r="CQ36" s="213"/>
      <c r="CR36" s="213"/>
      <c r="CS36" s="213"/>
      <c r="CT36" s="213"/>
      <c r="CU36" s="213"/>
      <c r="CV36" s="213"/>
      <c r="CW36" s="213"/>
      <c r="CX36" s="213"/>
      <c r="CY36" s="213"/>
      <c r="CZ36" s="214"/>
      <c r="DA36" s="214"/>
      <c r="DB36" s="214"/>
      <c r="DC36" s="214"/>
      <c r="DD36" s="214"/>
      <c r="DE36" s="214"/>
      <c r="DF36" s="214"/>
      <c r="DG36" s="214"/>
      <c r="DH36" s="214"/>
      <c r="DI36" s="214"/>
      <c r="DJ36" s="214"/>
      <c r="DK36" s="214"/>
      <c r="DL36" s="214"/>
      <c r="DM36" s="214"/>
    </row>
    <row r="37" spans="1:117" s="215" customFormat="1" ht="17.25" customHeight="1" hidden="1">
      <c r="A37" s="279">
        <v>3</v>
      </c>
      <c r="B37" s="334" t="s">
        <v>408</v>
      </c>
      <c r="C37" s="272"/>
      <c r="D37" s="272"/>
      <c r="E37" s="272"/>
      <c r="F37" s="272"/>
      <c r="G37" s="351">
        <v>367.32387</v>
      </c>
      <c r="H37" s="273"/>
      <c r="I37" s="372">
        <v>367.32387</v>
      </c>
      <c r="J37" s="372"/>
      <c r="K37" s="372"/>
      <c r="L37" s="372"/>
      <c r="M37" s="372"/>
      <c r="N37" s="372"/>
      <c r="O37" s="372"/>
      <c r="P37" s="289"/>
      <c r="Q37" s="337"/>
      <c r="R37" s="337"/>
      <c r="S37" s="337"/>
      <c r="T37" s="337"/>
      <c r="U37" s="337"/>
      <c r="V37" s="337"/>
      <c r="W37" s="337"/>
      <c r="X37" s="345"/>
      <c r="Y37" s="345"/>
      <c r="Z37" s="341">
        <f t="shared" si="8"/>
        <v>0</v>
      </c>
      <c r="AA37" s="341">
        <f t="shared" si="8"/>
        <v>0</v>
      </c>
      <c r="AB37" s="292">
        <f t="shared" si="11"/>
        <v>0</v>
      </c>
      <c r="AC37" s="341">
        <f t="shared" si="12"/>
        <v>0</v>
      </c>
      <c r="AD37" s="363"/>
      <c r="AE37" s="363"/>
      <c r="AF37" s="363"/>
      <c r="AG37" s="363"/>
      <c r="AH37" s="381">
        <v>367.323</v>
      </c>
      <c r="AI37" s="383">
        <v>367.323</v>
      </c>
      <c r="AJ37" s="363"/>
      <c r="AK37" s="363"/>
      <c r="AL37" s="363"/>
      <c r="AM37" s="363"/>
      <c r="AN37" s="349">
        <f t="shared" si="14"/>
        <v>367.323</v>
      </c>
      <c r="AO37" s="349">
        <f t="shared" si="14"/>
        <v>367.323</v>
      </c>
      <c r="AP37" s="349">
        <f t="shared" si="13"/>
        <v>367.323</v>
      </c>
      <c r="AQ37" s="293">
        <f t="shared" si="13"/>
        <v>367.323</v>
      </c>
      <c r="AR37" s="27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3"/>
      <c r="CA37" s="213"/>
      <c r="CB37" s="213"/>
      <c r="CC37" s="213"/>
      <c r="CD37" s="213"/>
      <c r="CE37" s="213"/>
      <c r="CF37" s="213"/>
      <c r="CG37" s="213"/>
      <c r="CH37" s="213"/>
      <c r="CI37" s="213"/>
      <c r="CJ37" s="213"/>
      <c r="CK37" s="213"/>
      <c r="CL37" s="213"/>
      <c r="CM37" s="213"/>
      <c r="CN37" s="213"/>
      <c r="CO37" s="213"/>
      <c r="CP37" s="213"/>
      <c r="CQ37" s="213"/>
      <c r="CR37" s="213"/>
      <c r="CS37" s="213"/>
      <c r="CT37" s="213"/>
      <c r="CU37" s="213"/>
      <c r="CV37" s="213"/>
      <c r="CW37" s="213"/>
      <c r="CX37" s="213"/>
      <c r="CY37" s="213"/>
      <c r="CZ37" s="214"/>
      <c r="DA37" s="214"/>
      <c r="DB37" s="214"/>
      <c r="DC37" s="214"/>
      <c r="DD37" s="214"/>
      <c r="DE37" s="214"/>
      <c r="DF37" s="214"/>
      <c r="DG37" s="214"/>
      <c r="DH37" s="214"/>
      <c r="DI37" s="214"/>
      <c r="DJ37" s="214"/>
      <c r="DK37" s="214"/>
      <c r="DL37" s="214"/>
      <c r="DM37" s="214"/>
    </row>
    <row r="38" spans="1:117" s="215" customFormat="1" ht="17.25" customHeight="1" hidden="1">
      <c r="A38" s="279">
        <v>4</v>
      </c>
      <c r="B38" s="334" t="s">
        <v>409</v>
      </c>
      <c r="C38" s="272"/>
      <c r="D38" s="272"/>
      <c r="E38" s="272"/>
      <c r="F38" s="272"/>
      <c r="G38" s="365">
        <f>SUM(G39:G44)</f>
        <v>699.720592</v>
      </c>
      <c r="H38" s="273"/>
      <c r="I38" s="372">
        <v>699.72592</v>
      </c>
      <c r="J38" s="372"/>
      <c r="K38" s="372"/>
      <c r="L38" s="372"/>
      <c r="M38" s="372"/>
      <c r="N38" s="372"/>
      <c r="O38" s="372"/>
      <c r="P38" s="289"/>
      <c r="Q38" s="337"/>
      <c r="R38" s="337"/>
      <c r="S38" s="337"/>
      <c r="T38" s="337"/>
      <c r="U38" s="337"/>
      <c r="V38" s="337"/>
      <c r="W38" s="337"/>
      <c r="X38" s="375">
        <f>X39+X40+X41+X42+X43+X44</f>
        <v>269.651</v>
      </c>
      <c r="Y38" s="375">
        <f>Y39+Y40+Y41+Y42+Y43+Y44</f>
        <v>0</v>
      </c>
      <c r="Z38" s="375">
        <f>Z39+Z40+Z41+Z42+Z43+Z44</f>
        <v>269.651</v>
      </c>
      <c r="AA38" s="341">
        <f>AA39+AA40+AA41+AA42+AA43+AA44</f>
        <v>0</v>
      </c>
      <c r="AB38" s="292">
        <f t="shared" si="11"/>
        <v>269.651</v>
      </c>
      <c r="AC38" s="341">
        <f t="shared" si="12"/>
        <v>0</v>
      </c>
      <c r="AD38" s="363"/>
      <c r="AE38" s="363"/>
      <c r="AF38" s="363">
        <v>613.7072054</v>
      </c>
      <c r="AG38" s="379">
        <f>SUM(AG39:AG44)</f>
        <v>261.368</v>
      </c>
      <c r="AH38" s="363">
        <f>86.0133866-269.651</f>
        <v>-183.63761340000002</v>
      </c>
      <c r="AI38" s="363"/>
      <c r="AJ38" s="363"/>
      <c r="AK38" s="363"/>
      <c r="AL38" s="363"/>
      <c r="AM38" s="363"/>
      <c r="AN38" s="349">
        <f t="shared" si="14"/>
        <v>430.069592</v>
      </c>
      <c r="AO38" s="349">
        <f t="shared" si="14"/>
        <v>261.368</v>
      </c>
      <c r="AP38" s="349">
        <f t="shared" si="13"/>
        <v>699.720592</v>
      </c>
      <c r="AQ38" s="293">
        <f t="shared" si="13"/>
        <v>261.368</v>
      </c>
      <c r="AR38" s="382"/>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c r="BV38" s="213"/>
      <c r="BW38" s="213"/>
      <c r="BX38" s="213"/>
      <c r="BY38" s="213"/>
      <c r="BZ38" s="213"/>
      <c r="CA38" s="213"/>
      <c r="CB38" s="213"/>
      <c r="CC38" s="213"/>
      <c r="CD38" s="213"/>
      <c r="CE38" s="213"/>
      <c r="CF38" s="213"/>
      <c r="CG38" s="213"/>
      <c r="CH38" s="213"/>
      <c r="CI38" s="213"/>
      <c r="CJ38" s="213"/>
      <c r="CK38" s="213"/>
      <c r="CL38" s="213"/>
      <c r="CM38" s="213"/>
      <c r="CN38" s="213"/>
      <c r="CO38" s="213"/>
      <c r="CP38" s="213"/>
      <c r="CQ38" s="213"/>
      <c r="CR38" s="213"/>
      <c r="CS38" s="213"/>
      <c r="CT38" s="213"/>
      <c r="CU38" s="213"/>
      <c r="CV38" s="213"/>
      <c r="CW38" s="213"/>
      <c r="CX38" s="213"/>
      <c r="CY38" s="213"/>
      <c r="CZ38" s="214"/>
      <c r="DA38" s="214"/>
      <c r="DB38" s="214"/>
      <c r="DC38" s="214"/>
      <c r="DD38" s="214"/>
      <c r="DE38" s="214"/>
      <c r="DF38" s="214"/>
      <c r="DG38" s="214"/>
      <c r="DH38" s="214"/>
      <c r="DI38" s="214"/>
      <c r="DJ38" s="214"/>
      <c r="DK38" s="214"/>
      <c r="DL38" s="214"/>
      <c r="DM38" s="214"/>
    </row>
    <row r="39" spans="1:117" s="215" customFormat="1" ht="17.25" customHeight="1" hidden="1">
      <c r="A39" s="384" t="s">
        <v>410</v>
      </c>
      <c r="B39" s="334" t="s">
        <v>411</v>
      </c>
      <c r="C39" s="272"/>
      <c r="D39" s="272"/>
      <c r="E39" s="272"/>
      <c r="F39" s="272"/>
      <c r="G39" s="351">
        <v>111.703383</v>
      </c>
      <c r="H39" s="273"/>
      <c r="I39" s="351">
        <v>111.703383</v>
      </c>
      <c r="J39" s="351"/>
      <c r="K39" s="351"/>
      <c r="L39" s="351"/>
      <c r="M39" s="351"/>
      <c r="N39" s="372"/>
      <c r="O39" s="372"/>
      <c r="P39" s="289"/>
      <c r="Q39" s="337"/>
      <c r="R39" s="337"/>
      <c r="S39" s="337"/>
      <c r="T39" s="337"/>
      <c r="U39" s="337"/>
      <c r="V39" s="337"/>
      <c r="W39" s="337"/>
      <c r="X39" s="354">
        <v>111.703</v>
      </c>
      <c r="Y39" s="345"/>
      <c r="Z39" s="341">
        <f t="shared" si="8"/>
        <v>111.703</v>
      </c>
      <c r="AA39" s="341">
        <f t="shared" si="8"/>
        <v>0</v>
      </c>
      <c r="AB39" s="292">
        <f t="shared" si="11"/>
        <v>111.703</v>
      </c>
      <c r="AC39" s="341">
        <f t="shared" si="12"/>
        <v>0</v>
      </c>
      <c r="AD39" s="363"/>
      <c r="AE39" s="363"/>
      <c r="AF39" s="363">
        <v>111.703383</v>
      </c>
      <c r="AG39" s="383">
        <v>111.7</v>
      </c>
      <c r="AH39" s="363">
        <v>0</v>
      </c>
      <c r="AI39" s="363"/>
      <c r="AJ39" s="363"/>
      <c r="AK39" s="363"/>
      <c r="AL39" s="363"/>
      <c r="AM39" s="363"/>
      <c r="AN39" s="349">
        <f t="shared" si="14"/>
        <v>111.703383</v>
      </c>
      <c r="AO39" s="349">
        <f t="shared" si="14"/>
        <v>111.7</v>
      </c>
      <c r="AP39" s="348"/>
      <c r="AQ39" s="293">
        <f aca="true" t="shared" si="15" ref="AQ39:AQ46">AO39+AC39</f>
        <v>111.7</v>
      </c>
      <c r="AR39" s="27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c r="BV39" s="213"/>
      <c r="BW39" s="213"/>
      <c r="BX39" s="213"/>
      <c r="BY39" s="213"/>
      <c r="BZ39" s="213"/>
      <c r="CA39" s="213"/>
      <c r="CB39" s="213"/>
      <c r="CC39" s="213"/>
      <c r="CD39" s="213"/>
      <c r="CE39" s="213"/>
      <c r="CF39" s="213"/>
      <c r="CG39" s="213"/>
      <c r="CH39" s="213"/>
      <c r="CI39" s="213"/>
      <c r="CJ39" s="213"/>
      <c r="CK39" s="213"/>
      <c r="CL39" s="213"/>
      <c r="CM39" s="213"/>
      <c r="CN39" s="213"/>
      <c r="CO39" s="213"/>
      <c r="CP39" s="213"/>
      <c r="CQ39" s="213"/>
      <c r="CR39" s="213"/>
      <c r="CS39" s="213"/>
      <c r="CT39" s="213"/>
      <c r="CU39" s="213"/>
      <c r="CV39" s="213"/>
      <c r="CW39" s="213"/>
      <c r="CX39" s="213"/>
      <c r="CY39" s="213"/>
      <c r="CZ39" s="214"/>
      <c r="DA39" s="214"/>
      <c r="DB39" s="214"/>
      <c r="DC39" s="214"/>
      <c r="DD39" s="214"/>
      <c r="DE39" s="214"/>
      <c r="DF39" s="214"/>
      <c r="DG39" s="214"/>
      <c r="DH39" s="214"/>
      <c r="DI39" s="214"/>
      <c r="DJ39" s="214"/>
      <c r="DK39" s="214"/>
      <c r="DL39" s="214"/>
      <c r="DM39" s="214"/>
    </row>
    <row r="40" spans="1:117" s="215" customFormat="1" ht="17.25" customHeight="1" hidden="1">
      <c r="A40" s="384" t="s">
        <v>410</v>
      </c>
      <c r="B40" s="334" t="s">
        <v>412</v>
      </c>
      <c r="C40" s="272"/>
      <c r="D40" s="272"/>
      <c r="E40" s="272"/>
      <c r="F40" s="272"/>
      <c r="G40" s="351">
        <v>81.570616</v>
      </c>
      <c r="H40" s="273"/>
      <c r="I40" s="351">
        <v>81.570616</v>
      </c>
      <c r="J40" s="351"/>
      <c r="K40" s="351"/>
      <c r="L40" s="351"/>
      <c r="M40" s="351"/>
      <c r="N40" s="372"/>
      <c r="O40" s="372"/>
      <c r="P40" s="289"/>
      <c r="Q40" s="337"/>
      <c r="R40" s="337"/>
      <c r="S40" s="337"/>
      <c r="T40" s="337"/>
      <c r="U40" s="337"/>
      <c r="V40" s="337"/>
      <c r="W40" s="337"/>
      <c r="X40" s="354">
        <v>81.57</v>
      </c>
      <c r="Y40" s="345"/>
      <c r="Z40" s="341">
        <f t="shared" si="8"/>
        <v>81.57</v>
      </c>
      <c r="AA40" s="341">
        <f t="shared" si="8"/>
        <v>0</v>
      </c>
      <c r="AB40" s="287">
        <f t="shared" si="11"/>
        <v>81.57</v>
      </c>
      <c r="AC40" s="341">
        <f t="shared" si="12"/>
        <v>0</v>
      </c>
      <c r="AD40" s="363"/>
      <c r="AE40" s="363"/>
      <c r="AF40" s="363">
        <v>81.570616</v>
      </c>
      <c r="AG40" s="383">
        <v>73.413</v>
      </c>
      <c r="AH40" s="363">
        <v>0</v>
      </c>
      <c r="AI40" s="383">
        <v>8.157</v>
      </c>
      <c r="AJ40" s="363"/>
      <c r="AK40" s="363"/>
      <c r="AL40" s="363"/>
      <c r="AM40" s="363"/>
      <c r="AN40" s="349">
        <f t="shared" si="14"/>
        <v>81.570616</v>
      </c>
      <c r="AO40" s="349">
        <f t="shared" si="14"/>
        <v>81.57</v>
      </c>
      <c r="AP40" s="348"/>
      <c r="AQ40" s="293">
        <f t="shared" si="15"/>
        <v>81.57</v>
      </c>
      <c r="AR40" s="27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c r="BV40" s="213"/>
      <c r="BW40" s="213"/>
      <c r="BX40" s="213"/>
      <c r="BY40" s="213"/>
      <c r="BZ40" s="213"/>
      <c r="CA40" s="213"/>
      <c r="CB40" s="213"/>
      <c r="CC40" s="213"/>
      <c r="CD40" s="213"/>
      <c r="CE40" s="213"/>
      <c r="CF40" s="213"/>
      <c r="CG40" s="213"/>
      <c r="CH40" s="213"/>
      <c r="CI40" s="213"/>
      <c r="CJ40" s="213"/>
      <c r="CK40" s="213"/>
      <c r="CL40" s="213"/>
      <c r="CM40" s="213"/>
      <c r="CN40" s="213"/>
      <c r="CO40" s="213"/>
      <c r="CP40" s="213"/>
      <c r="CQ40" s="213"/>
      <c r="CR40" s="213"/>
      <c r="CS40" s="213"/>
      <c r="CT40" s="213"/>
      <c r="CU40" s="213"/>
      <c r="CV40" s="213"/>
      <c r="CW40" s="213"/>
      <c r="CX40" s="213"/>
      <c r="CY40" s="213"/>
      <c r="CZ40" s="214"/>
      <c r="DA40" s="214"/>
      <c r="DB40" s="214"/>
      <c r="DC40" s="214"/>
      <c r="DD40" s="214"/>
      <c r="DE40" s="214"/>
      <c r="DF40" s="214"/>
      <c r="DG40" s="214"/>
      <c r="DH40" s="214"/>
      <c r="DI40" s="214"/>
      <c r="DJ40" s="214"/>
      <c r="DK40" s="214"/>
      <c r="DL40" s="214"/>
      <c r="DM40" s="214"/>
    </row>
    <row r="41" spans="1:117" s="215" customFormat="1" ht="34.5" customHeight="1" hidden="1">
      <c r="A41" s="384" t="s">
        <v>410</v>
      </c>
      <c r="B41" s="334" t="s">
        <v>413</v>
      </c>
      <c r="C41" s="272"/>
      <c r="D41" s="272"/>
      <c r="E41" s="272"/>
      <c r="F41" s="272"/>
      <c r="G41" s="351">
        <v>12.012506</v>
      </c>
      <c r="H41" s="273"/>
      <c r="I41" s="351">
        <v>12.012506</v>
      </c>
      <c r="J41" s="351"/>
      <c r="K41" s="351"/>
      <c r="L41" s="351"/>
      <c r="M41" s="351"/>
      <c r="N41" s="372"/>
      <c r="O41" s="372"/>
      <c r="P41" s="289"/>
      <c r="Q41" s="337"/>
      <c r="R41" s="337"/>
      <c r="S41" s="337"/>
      <c r="T41" s="337"/>
      <c r="U41" s="337"/>
      <c r="V41" s="337"/>
      <c r="W41" s="337"/>
      <c r="X41" s="354">
        <v>12.012</v>
      </c>
      <c r="Y41" s="345"/>
      <c r="Z41" s="341">
        <f t="shared" si="8"/>
        <v>12.012</v>
      </c>
      <c r="AA41" s="341">
        <f t="shared" si="8"/>
        <v>0</v>
      </c>
      <c r="AB41" s="292">
        <f t="shared" si="11"/>
        <v>12.012</v>
      </c>
      <c r="AC41" s="341">
        <f t="shared" si="12"/>
        <v>0</v>
      </c>
      <c r="AD41" s="363"/>
      <c r="AE41" s="363"/>
      <c r="AF41" s="363">
        <v>12.012506</v>
      </c>
      <c r="AG41" s="385">
        <v>12.01</v>
      </c>
      <c r="AH41" s="363">
        <v>0</v>
      </c>
      <c r="AI41" s="363"/>
      <c r="AJ41" s="363"/>
      <c r="AK41" s="363"/>
      <c r="AL41" s="363"/>
      <c r="AM41" s="363"/>
      <c r="AN41" s="349">
        <f t="shared" si="14"/>
        <v>12.012506</v>
      </c>
      <c r="AO41" s="349">
        <f t="shared" si="14"/>
        <v>12.01</v>
      </c>
      <c r="AP41" s="348"/>
      <c r="AQ41" s="293">
        <f t="shared" si="15"/>
        <v>12.01</v>
      </c>
      <c r="AR41" s="27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c r="BW41" s="213"/>
      <c r="BX41" s="213"/>
      <c r="BY41" s="213"/>
      <c r="BZ41" s="213"/>
      <c r="CA41" s="213"/>
      <c r="CB41" s="213"/>
      <c r="CC41" s="213"/>
      <c r="CD41" s="213"/>
      <c r="CE41" s="213"/>
      <c r="CF41" s="213"/>
      <c r="CG41" s="213"/>
      <c r="CH41" s="213"/>
      <c r="CI41" s="213"/>
      <c r="CJ41" s="213"/>
      <c r="CK41" s="213"/>
      <c r="CL41" s="213"/>
      <c r="CM41" s="213"/>
      <c r="CN41" s="213"/>
      <c r="CO41" s="213"/>
      <c r="CP41" s="213"/>
      <c r="CQ41" s="213"/>
      <c r="CR41" s="213"/>
      <c r="CS41" s="213"/>
      <c r="CT41" s="213"/>
      <c r="CU41" s="213"/>
      <c r="CV41" s="213"/>
      <c r="CW41" s="213"/>
      <c r="CX41" s="213"/>
      <c r="CY41" s="213"/>
      <c r="CZ41" s="214"/>
      <c r="DA41" s="214"/>
      <c r="DB41" s="214"/>
      <c r="DC41" s="214"/>
      <c r="DD41" s="214"/>
      <c r="DE41" s="214"/>
      <c r="DF41" s="214"/>
      <c r="DG41" s="214"/>
      <c r="DH41" s="214"/>
      <c r="DI41" s="214"/>
      <c r="DJ41" s="214"/>
      <c r="DK41" s="214"/>
      <c r="DL41" s="214"/>
      <c r="DM41" s="214"/>
    </row>
    <row r="42" spans="1:117" s="215" customFormat="1" ht="17.25" customHeight="1" hidden="1">
      <c r="A42" s="384" t="s">
        <v>410</v>
      </c>
      <c r="B42" s="334" t="s">
        <v>414</v>
      </c>
      <c r="C42" s="272"/>
      <c r="D42" s="272"/>
      <c r="E42" s="272"/>
      <c r="F42" s="272"/>
      <c r="G42" s="351">
        <v>11.811336</v>
      </c>
      <c r="H42" s="273"/>
      <c r="I42" s="351">
        <v>11.811336</v>
      </c>
      <c r="J42" s="351"/>
      <c r="K42" s="351"/>
      <c r="L42" s="351"/>
      <c r="M42" s="351"/>
      <c r="N42" s="372"/>
      <c r="O42" s="372"/>
      <c r="P42" s="289"/>
      <c r="Q42" s="337"/>
      <c r="R42" s="337"/>
      <c r="S42" s="337"/>
      <c r="T42" s="337"/>
      <c r="U42" s="337"/>
      <c r="V42" s="337"/>
      <c r="W42" s="337"/>
      <c r="X42" s="354">
        <v>11.811</v>
      </c>
      <c r="Y42" s="345"/>
      <c r="Z42" s="341">
        <f t="shared" si="8"/>
        <v>11.811</v>
      </c>
      <c r="AA42" s="341">
        <f t="shared" si="8"/>
        <v>0</v>
      </c>
      <c r="AB42" s="292">
        <f t="shared" si="11"/>
        <v>11.811</v>
      </c>
      <c r="AC42" s="341">
        <f t="shared" si="12"/>
        <v>0</v>
      </c>
      <c r="AD42" s="363"/>
      <c r="AE42" s="363"/>
      <c r="AF42" s="363">
        <v>11.811336</v>
      </c>
      <c r="AG42" s="385">
        <v>11.69</v>
      </c>
      <c r="AH42" s="363">
        <v>0</v>
      </c>
      <c r="AI42" s="363"/>
      <c r="AJ42" s="363"/>
      <c r="AK42" s="363"/>
      <c r="AL42" s="363"/>
      <c r="AM42" s="363"/>
      <c r="AN42" s="349">
        <f t="shared" si="14"/>
        <v>11.811336</v>
      </c>
      <c r="AO42" s="349">
        <f t="shared" si="14"/>
        <v>11.69</v>
      </c>
      <c r="AP42" s="348"/>
      <c r="AQ42" s="293">
        <f t="shared" si="15"/>
        <v>11.69</v>
      </c>
      <c r="AR42" s="27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c r="BV42" s="213"/>
      <c r="BW42" s="213"/>
      <c r="BX42" s="213"/>
      <c r="BY42" s="213"/>
      <c r="BZ42" s="213"/>
      <c r="CA42" s="213"/>
      <c r="CB42" s="213"/>
      <c r="CC42" s="213"/>
      <c r="CD42" s="213"/>
      <c r="CE42" s="213"/>
      <c r="CF42" s="213"/>
      <c r="CG42" s="213"/>
      <c r="CH42" s="213"/>
      <c r="CI42" s="213"/>
      <c r="CJ42" s="213"/>
      <c r="CK42" s="213"/>
      <c r="CL42" s="213"/>
      <c r="CM42" s="213"/>
      <c r="CN42" s="213"/>
      <c r="CO42" s="213"/>
      <c r="CP42" s="213"/>
      <c r="CQ42" s="213"/>
      <c r="CR42" s="213"/>
      <c r="CS42" s="213"/>
      <c r="CT42" s="213"/>
      <c r="CU42" s="213"/>
      <c r="CV42" s="213"/>
      <c r="CW42" s="213"/>
      <c r="CX42" s="213"/>
      <c r="CY42" s="213"/>
      <c r="CZ42" s="214"/>
      <c r="DA42" s="214"/>
      <c r="DB42" s="214"/>
      <c r="DC42" s="214"/>
      <c r="DD42" s="214"/>
      <c r="DE42" s="214"/>
      <c r="DF42" s="214"/>
      <c r="DG42" s="214"/>
      <c r="DH42" s="214"/>
      <c r="DI42" s="214"/>
      <c r="DJ42" s="214"/>
      <c r="DK42" s="214"/>
      <c r="DL42" s="214"/>
      <c r="DM42" s="214"/>
    </row>
    <row r="43" spans="1:117" s="215" customFormat="1" ht="34.5" customHeight="1" hidden="1">
      <c r="A43" s="384" t="s">
        <v>410</v>
      </c>
      <c r="B43" s="334" t="s">
        <v>415</v>
      </c>
      <c r="C43" s="272"/>
      <c r="D43" s="272"/>
      <c r="E43" s="272"/>
      <c r="F43" s="272"/>
      <c r="G43" s="351">
        <v>52.555818</v>
      </c>
      <c r="H43" s="273"/>
      <c r="I43" s="351">
        <v>52.555818</v>
      </c>
      <c r="J43" s="351"/>
      <c r="K43" s="351"/>
      <c r="L43" s="351"/>
      <c r="M43" s="351"/>
      <c r="N43" s="372"/>
      <c r="O43" s="372"/>
      <c r="P43" s="289"/>
      <c r="Q43" s="337"/>
      <c r="R43" s="337"/>
      <c r="S43" s="337"/>
      <c r="T43" s="337"/>
      <c r="U43" s="337"/>
      <c r="V43" s="337"/>
      <c r="W43" s="337"/>
      <c r="X43" s="354">
        <v>52.555</v>
      </c>
      <c r="Y43" s="345"/>
      <c r="Z43" s="341">
        <f t="shared" si="8"/>
        <v>52.555</v>
      </c>
      <c r="AA43" s="341">
        <f t="shared" si="8"/>
        <v>0</v>
      </c>
      <c r="AB43" s="292">
        <f t="shared" si="11"/>
        <v>52.555</v>
      </c>
      <c r="AC43" s="341">
        <f t="shared" si="12"/>
        <v>0</v>
      </c>
      <c r="AD43" s="363"/>
      <c r="AE43" s="363"/>
      <c r="AF43" s="363">
        <v>52.555818</v>
      </c>
      <c r="AG43" s="383">
        <v>52.555</v>
      </c>
      <c r="AH43" s="363">
        <v>0</v>
      </c>
      <c r="AI43" s="363"/>
      <c r="AJ43" s="363"/>
      <c r="AK43" s="363"/>
      <c r="AL43" s="363"/>
      <c r="AM43" s="363"/>
      <c r="AN43" s="349">
        <f t="shared" si="14"/>
        <v>52.555818</v>
      </c>
      <c r="AO43" s="349">
        <f t="shared" si="14"/>
        <v>52.555</v>
      </c>
      <c r="AP43" s="348"/>
      <c r="AQ43" s="293">
        <f t="shared" si="15"/>
        <v>52.555</v>
      </c>
      <c r="AR43" s="27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c r="CF43" s="213"/>
      <c r="CG43" s="213"/>
      <c r="CH43" s="213"/>
      <c r="CI43" s="213"/>
      <c r="CJ43" s="213"/>
      <c r="CK43" s="213"/>
      <c r="CL43" s="213"/>
      <c r="CM43" s="213"/>
      <c r="CN43" s="213"/>
      <c r="CO43" s="213"/>
      <c r="CP43" s="213"/>
      <c r="CQ43" s="213"/>
      <c r="CR43" s="213"/>
      <c r="CS43" s="213"/>
      <c r="CT43" s="213"/>
      <c r="CU43" s="213"/>
      <c r="CV43" s="213"/>
      <c r="CW43" s="213"/>
      <c r="CX43" s="213"/>
      <c r="CY43" s="213"/>
      <c r="CZ43" s="214"/>
      <c r="DA43" s="214"/>
      <c r="DB43" s="214"/>
      <c r="DC43" s="214"/>
      <c r="DD43" s="214"/>
      <c r="DE43" s="214"/>
      <c r="DF43" s="214"/>
      <c r="DG43" s="214"/>
      <c r="DH43" s="214"/>
      <c r="DI43" s="214"/>
      <c r="DJ43" s="214"/>
      <c r="DK43" s="214"/>
      <c r="DL43" s="214"/>
      <c r="DM43" s="214"/>
    </row>
    <row r="44" spans="1:117" s="215" customFormat="1" ht="17.25" customHeight="1" hidden="1">
      <c r="A44" s="384" t="s">
        <v>410</v>
      </c>
      <c r="B44" s="334" t="s">
        <v>416</v>
      </c>
      <c r="C44" s="272"/>
      <c r="D44" s="272"/>
      <c r="E44" s="272"/>
      <c r="F44" s="272"/>
      <c r="G44" s="351">
        <v>430.066933</v>
      </c>
      <c r="H44" s="273"/>
      <c r="I44" s="351">
        <v>430.066933</v>
      </c>
      <c r="J44" s="351"/>
      <c r="K44" s="351"/>
      <c r="L44" s="351"/>
      <c r="M44" s="351"/>
      <c r="N44" s="372"/>
      <c r="O44" s="372"/>
      <c r="P44" s="289"/>
      <c r="Q44" s="337"/>
      <c r="R44" s="337"/>
      <c r="S44" s="337"/>
      <c r="T44" s="337"/>
      <c r="U44" s="337"/>
      <c r="V44" s="337"/>
      <c r="W44" s="337"/>
      <c r="X44" s="354"/>
      <c r="Y44" s="345"/>
      <c r="Z44" s="341">
        <f t="shared" si="8"/>
        <v>0</v>
      </c>
      <c r="AA44" s="341">
        <f t="shared" si="8"/>
        <v>0</v>
      </c>
      <c r="AB44" s="292">
        <f t="shared" si="11"/>
        <v>0</v>
      </c>
      <c r="AC44" s="341">
        <f t="shared" si="12"/>
        <v>0</v>
      </c>
      <c r="AD44" s="363"/>
      <c r="AE44" s="363"/>
      <c r="AF44" s="363">
        <v>344.0535464</v>
      </c>
      <c r="AG44" s="363"/>
      <c r="AH44" s="383">
        <v>86.01338659999999</v>
      </c>
      <c r="AI44" s="383">
        <f>387.06+43.066</f>
        <v>430.126</v>
      </c>
      <c r="AJ44" s="363"/>
      <c r="AK44" s="363"/>
      <c r="AL44" s="363"/>
      <c r="AM44" s="363"/>
      <c r="AN44" s="348">
        <f t="shared" si="14"/>
        <v>430.066933</v>
      </c>
      <c r="AO44" s="348">
        <f t="shared" si="14"/>
        <v>430.126</v>
      </c>
      <c r="AP44" s="348"/>
      <c r="AQ44" s="293">
        <f t="shared" si="15"/>
        <v>430.126</v>
      </c>
      <c r="AR44" s="27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4"/>
      <c r="DA44" s="214"/>
      <c r="DB44" s="214"/>
      <c r="DC44" s="214"/>
      <c r="DD44" s="214"/>
      <c r="DE44" s="214"/>
      <c r="DF44" s="214"/>
      <c r="DG44" s="214"/>
      <c r="DH44" s="214"/>
      <c r="DI44" s="214"/>
      <c r="DJ44" s="214"/>
      <c r="DK44" s="214"/>
      <c r="DL44" s="214"/>
      <c r="DM44" s="214"/>
    </row>
    <row r="45" spans="1:117" s="215" customFormat="1" ht="17.25" customHeight="1" hidden="1">
      <c r="A45" s="279">
        <v>5</v>
      </c>
      <c r="B45" s="334" t="s">
        <v>399</v>
      </c>
      <c r="C45" s="272"/>
      <c r="D45" s="272"/>
      <c r="E45" s="272"/>
      <c r="F45" s="272"/>
      <c r="G45" s="351">
        <v>55.361553</v>
      </c>
      <c r="H45" s="273"/>
      <c r="I45" s="372">
        <v>55.361553</v>
      </c>
      <c r="J45" s="372"/>
      <c r="K45" s="372"/>
      <c r="L45" s="372"/>
      <c r="M45" s="372"/>
      <c r="N45" s="372"/>
      <c r="O45" s="372"/>
      <c r="P45" s="289"/>
      <c r="Q45" s="337"/>
      <c r="R45" s="337"/>
      <c r="S45" s="337"/>
      <c r="T45" s="337"/>
      <c r="U45" s="337"/>
      <c r="V45" s="337"/>
      <c r="W45" s="337"/>
      <c r="X45" s="354">
        <f>3.78+1.781</f>
        <v>5.561</v>
      </c>
      <c r="Y45" s="345"/>
      <c r="Z45" s="341">
        <f>R45+T45+V45+X45</f>
        <v>5.561</v>
      </c>
      <c r="AA45" s="341">
        <f t="shared" si="8"/>
        <v>0</v>
      </c>
      <c r="AB45" s="292">
        <f t="shared" si="11"/>
        <v>5.561</v>
      </c>
      <c r="AC45" s="341">
        <f t="shared" si="12"/>
        <v>0</v>
      </c>
      <c r="AD45" s="363"/>
      <c r="AE45" s="363"/>
      <c r="AF45" s="363"/>
      <c r="AG45" s="363"/>
      <c r="AH45" s="381">
        <v>49.8</v>
      </c>
      <c r="AI45" s="383">
        <v>49.8</v>
      </c>
      <c r="AJ45" s="363"/>
      <c r="AK45" s="363"/>
      <c r="AL45" s="363"/>
      <c r="AM45" s="363"/>
      <c r="AN45" s="348">
        <f t="shared" si="14"/>
        <v>49.8</v>
      </c>
      <c r="AO45" s="348">
        <f t="shared" si="14"/>
        <v>49.8</v>
      </c>
      <c r="AP45" s="386">
        <f>AN45+AB45</f>
        <v>55.361</v>
      </c>
      <c r="AQ45" s="293">
        <f t="shared" si="15"/>
        <v>49.8</v>
      </c>
      <c r="AR45" s="27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4"/>
      <c r="DA45" s="214"/>
      <c r="DB45" s="214"/>
      <c r="DC45" s="214"/>
      <c r="DD45" s="214"/>
      <c r="DE45" s="214"/>
      <c r="DF45" s="214"/>
      <c r="DG45" s="214"/>
      <c r="DH45" s="214"/>
      <c r="DI45" s="214"/>
      <c r="DJ45" s="214"/>
      <c r="DK45" s="214"/>
      <c r="DL45" s="214"/>
      <c r="DM45" s="214"/>
    </row>
    <row r="46" spans="1:117" s="215" customFormat="1" ht="17.25" customHeight="1" hidden="1">
      <c r="A46" s="279">
        <v>6</v>
      </c>
      <c r="B46" s="334" t="s">
        <v>417</v>
      </c>
      <c r="C46" s="272"/>
      <c r="D46" s="272"/>
      <c r="E46" s="272"/>
      <c r="F46" s="272"/>
      <c r="G46" s="351">
        <v>774.243875</v>
      </c>
      <c r="H46" s="273"/>
      <c r="I46" s="372">
        <v>43.313157</v>
      </c>
      <c r="J46" s="372"/>
      <c r="K46" s="372"/>
      <c r="L46" s="372"/>
      <c r="M46" s="372"/>
      <c r="N46" s="372"/>
      <c r="O46" s="372"/>
      <c r="P46" s="289"/>
      <c r="Q46" s="337"/>
      <c r="R46" s="337"/>
      <c r="S46" s="337"/>
      <c r="T46" s="337"/>
      <c r="U46" s="337"/>
      <c r="V46" s="337"/>
      <c r="W46" s="337"/>
      <c r="X46" s="345"/>
      <c r="Y46" s="345"/>
      <c r="Z46" s="341">
        <f t="shared" si="8"/>
        <v>0</v>
      </c>
      <c r="AA46" s="341">
        <f t="shared" si="8"/>
        <v>0</v>
      </c>
      <c r="AB46" s="341">
        <f t="shared" si="11"/>
        <v>0</v>
      </c>
      <c r="AC46" s="341">
        <f t="shared" si="12"/>
        <v>0</v>
      </c>
      <c r="AD46" s="363"/>
      <c r="AE46" s="363"/>
      <c r="AF46" s="363"/>
      <c r="AG46" s="363"/>
      <c r="AH46" s="363"/>
      <c r="AI46" s="363"/>
      <c r="AJ46" s="363"/>
      <c r="AK46" s="363"/>
      <c r="AL46" s="363"/>
      <c r="AM46" s="363"/>
      <c r="AN46" s="348">
        <f t="shared" si="14"/>
        <v>0</v>
      </c>
      <c r="AO46" s="348">
        <f t="shared" si="14"/>
        <v>0</v>
      </c>
      <c r="AP46" s="348">
        <f>AN46+AB46</f>
        <v>0</v>
      </c>
      <c r="AQ46" s="293">
        <f t="shared" si="15"/>
        <v>0</v>
      </c>
      <c r="AR46" s="27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4"/>
      <c r="DA46" s="214"/>
      <c r="DB46" s="214"/>
      <c r="DC46" s="214"/>
      <c r="DD46" s="214"/>
      <c r="DE46" s="214"/>
      <c r="DF46" s="214"/>
      <c r="DG46" s="214"/>
      <c r="DH46" s="214"/>
      <c r="DI46" s="214"/>
      <c r="DJ46" s="214"/>
      <c r="DK46" s="214"/>
      <c r="DL46" s="214"/>
      <c r="DM46" s="214"/>
    </row>
    <row r="47" spans="1:117" s="215" customFormat="1" ht="39" customHeight="1">
      <c r="A47" s="283">
        <v>5</v>
      </c>
      <c r="B47" s="284" t="s">
        <v>418</v>
      </c>
      <c r="C47" s="272" t="s">
        <v>419</v>
      </c>
      <c r="D47" s="272"/>
      <c r="E47" s="272"/>
      <c r="F47" s="272" t="s">
        <v>420</v>
      </c>
      <c r="G47" s="387">
        <f>SUM(G48:G54)</f>
        <v>10355.336000000001</v>
      </c>
      <c r="H47" s="387" t="s">
        <v>421</v>
      </c>
      <c r="I47" s="387">
        <f>SUM(I48:I54)</f>
        <v>10355.339747000002</v>
      </c>
      <c r="J47" s="387"/>
      <c r="K47" s="388">
        <v>1000</v>
      </c>
      <c r="L47" s="388">
        <v>1200</v>
      </c>
      <c r="M47" s="388">
        <v>1600</v>
      </c>
      <c r="N47" s="388">
        <f aca="true" t="shared" si="16" ref="N47:AO47">SUM(N48:N54)</f>
        <v>2150</v>
      </c>
      <c r="O47" s="388">
        <f t="shared" si="16"/>
        <v>1000</v>
      </c>
      <c r="P47" s="387">
        <f t="shared" si="16"/>
        <v>0</v>
      </c>
      <c r="Q47" s="387">
        <f>J47+K47+L47+M47</f>
        <v>3800</v>
      </c>
      <c r="R47" s="387">
        <f t="shared" si="16"/>
        <v>0</v>
      </c>
      <c r="S47" s="387">
        <f t="shared" si="16"/>
        <v>0</v>
      </c>
      <c r="T47" s="387">
        <f t="shared" si="16"/>
        <v>0</v>
      </c>
      <c r="U47" s="387">
        <f t="shared" si="16"/>
        <v>0</v>
      </c>
      <c r="V47" s="387">
        <f t="shared" si="16"/>
        <v>0</v>
      </c>
      <c r="W47" s="387">
        <f t="shared" si="16"/>
        <v>1200</v>
      </c>
      <c r="X47" s="387">
        <f t="shared" si="16"/>
        <v>0</v>
      </c>
      <c r="Y47" s="387">
        <f t="shared" si="16"/>
        <v>0</v>
      </c>
      <c r="Z47" s="387">
        <f t="shared" si="16"/>
        <v>0</v>
      </c>
      <c r="AA47" s="387">
        <f t="shared" si="16"/>
        <v>1200</v>
      </c>
      <c r="AB47" s="387">
        <f t="shared" si="16"/>
        <v>2150</v>
      </c>
      <c r="AC47" s="387">
        <f t="shared" si="16"/>
        <v>2200</v>
      </c>
      <c r="AD47" s="387">
        <v>1600</v>
      </c>
      <c r="AE47" s="387">
        <f>AC47+AD47</f>
        <v>3800</v>
      </c>
      <c r="AF47" s="387">
        <f t="shared" si="16"/>
        <v>0</v>
      </c>
      <c r="AG47" s="387">
        <f t="shared" si="16"/>
        <v>0</v>
      </c>
      <c r="AH47" s="389">
        <f t="shared" si="16"/>
        <v>15.471</v>
      </c>
      <c r="AI47" s="389">
        <f t="shared" si="16"/>
        <v>253.77300000000002</v>
      </c>
      <c r="AJ47" s="387">
        <f t="shared" si="16"/>
        <v>0</v>
      </c>
      <c r="AK47" s="387">
        <f t="shared" si="16"/>
        <v>0</v>
      </c>
      <c r="AL47" s="387">
        <f t="shared" si="16"/>
        <v>0</v>
      </c>
      <c r="AM47" s="387">
        <f t="shared" si="16"/>
        <v>0</v>
      </c>
      <c r="AN47" s="387">
        <f t="shared" si="16"/>
        <v>15.471</v>
      </c>
      <c r="AO47" s="387">
        <f t="shared" si="16"/>
        <v>253.77300000000002</v>
      </c>
      <c r="AP47" s="387">
        <f>SUM(AP48:AP54)</f>
        <v>2165.471</v>
      </c>
      <c r="AQ47" s="286">
        <f>Q47</f>
        <v>3800</v>
      </c>
      <c r="AR47" s="273" t="s">
        <v>422</v>
      </c>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c r="CP47" s="213"/>
      <c r="CQ47" s="213"/>
      <c r="CR47" s="213"/>
      <c r="CS47" s="213"/>
      <c r="CT47" s="213"/>
      <c r="CU47" s="213"/>
      <c r="CV47" s="213"/>
      <c r="CW47" s="213"/>
      <c r="CX47" s="213"/>
      <c r="CY47" s="213"/>
      <c r="CZ47" s="214"/>
      <c r="DA47" s="214"/>
      <c r="DB47" s="214"/>
      <c r="DC47" s="214"/>
      <c r="DD47" s="214"/>
      <c r="DE47" s="214"/>
      <c r="DF47" s="214"/>
      <c r="DG47" s="214"/>
      <c r="DH47" s="214"/>
      <c r="DI47" s="214"/>
      <c r="DJ47" s="214"/>
      <c r="DK47" s="214"/>
      <c r="DL47" s="214"/>
      <c r="DM47" s="214"/>
    </row>
    <row r="48" spans="1:117" s="215" customFormat="1" ht="17.25" customHeight="1" hidden="1">
      <c r="A48" s="390">
        <v>1</v>
      </c>
      <c r="B48" s="284" t="s">
        <v>423</v>
      </c>
      <c r="C48" s="272"/>
      <c r="D48" s="272"/>
      <c r="E48" s="272"/>
      <c r="F48" s="272"/>
      <c r="G48" s="387">
        <v>6593.015</v>
      </c>
      <c r="H48" s="273"/>
      <c r="I48" s="387">
        <v>7075.712821</v>
      </c>
      <c r="J48" s="387"/>
      <c r="K48" s="387"/>
      <c r="L48" s="387"/>
      <c r="M48" s="387"/>
      <c r="N48" s="377">
        <v>1650</v>
      </c>
      <c r="O48" s="377">
        <v>500</v>
      </c>
      <c r="P48" s="289"/>
      <c r="Q48" s="276"/>
      <c r="R48" s="276"/>
      <c r="S48" s="276"/>
      <c r="T48" s="276"/>
      <c r="U48" s="339"/>
      <c r="V48" s="276"/>
      <c r="W48" s="339">
        <v>1200</v>
      </c>
      <c r="X48" s="345"/>
      <c r="Y48" s="345"/>
      <c r="Z48" s="341">
        <f>R48+T48+V48+X48</f>
        <v>0</v>
      </c>
      <c r="AA48" s="341">
        <f>S48+U48+W48+Y48</f>
        <v>1200</v>
      </c>
      <c r="AB48" s="290">
        <f aca="true" t="shared" si="17" ref="AB48:AC54">N48+Z48</f>
        <v>1650</v>
      </c>
      <c r="AC48" s="391">
        <f t="shared" si="17"/>
        <v>1700</v>
      </c>
      <c r="AD48" s="363"/>
      <c r="AE48" s="363"/>
      <c r="AF48" s="363"/>
      <c r="AG48" s="363"/>
      <c r="AH48" s="363"/>
      <c r="AI48" s="363"/>
      <c r="AJ48" s="363"/>
      <c r="AK48" s="363"/>
      <c r="AL48" s="363"/>
      <c r="AM48" s="363"/>
      <c r="AN48" s="348">
        <f>AF48+AH48+AJ48+AL48</f>
        <v>0</v>
      </c>
      <c r="AO48" s="348">
        <f>AG48+AI48+AK48+AM48</f>
        <v>0</v>
      </c>
      <c r="AP48" s="386">
        <f aca="true" t="shared" si="18" ref="AP48:AP54">AN48+AB48</f>
        <v>1650</v>
      </c>
      <c r="AQ48" s="286">
        <f aca="true" t="shared" si="19" ref="AQ48:AQ86">Q48</f>
        <v>0</v>
      </c>
      <c r="AR48" s="27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c r="CO48" s="213"/>
      <c r="CP48" s="213"/>
      <c r="CQ48" s="213"/>
      <c r="CR48" s="213"/>
      <c r="CS48" s="213"/>
      <c r="CT48" s="213"/>
      <c r="CU48" s="213"/>
      <c r="CV48" s="213"/>
      <c r="CW48" s="213"/>
      <c r="CX48" s="213"/>
      <c r="CY48" s="213"/>
      <c r="CZ48" s="214"/>
      <c r="DA48" s="214"/>
      <c r="DB48" s="214"/>
      <c r="DC48" s="214"/>
      <c r="DD48" s="214"/>
      <c r="DE48" s="214"/>
      <c r="DF48" s="214"/>
      <c r="DG48" s="214"/>
      <c r="DH48" s="214"/>
      <c r="DI48" s="214"/>
      <c r="DJ48" s="214"/>
      <c r="DK48" s="214"/>
      <c r="DL48" s="214"/>
      <c r="DM48" s="214"/>
    </row>
    <row r="49" spans="1:117" s="215" customFormat="1" ht="26.25" customHeight="1" hidden="1">
      <c r="A49" s="390">
        <v>2</v>
      </c>
      <c r="B49" s="284" t="s">
        <v>424</v>
      </c>
      <c r="C49" s="272"/>
      <c r="D49" s="272"/>
      <c r="E49" s="272"/>
      <c r="F49" s="272"/>
      <c r="G49" s="387">
        <v>1559.625</v>
      </c>
      <c r="H49" s="273"/>
      <c r="I49" s="387">
        <v>1559.625</v>
      </c>
      <c r="J49" s="387"/>
      <c r="K49" s="387"/>
      <c r="L49" s="387"/>
      <c r="M49" s="387"/>
      <c r="N49" s="392">
        <v>0</v>
      </c>
      <c r="O49" s="392"/>
      <c r="P49" s="289"/>
      <c r="Q49" s="276"/>
      <c r="R49" s="276"/>
      <c r="S49" s="276"/>
      <c r="T49" s="363"/>
      <c r="U49" s="276"/>
      <c r="V49" s="276"/>
      <c r="W49" s="276"/>
      <c r="X49" s="345"/>
      <c r="Y49" s="345"/>
      <c r="Z49" s="341">
        <f aca="true" t="shared" si="20" ref="Z49:AA54">R49+T49+V49+X49</f>
        <v>0</v>
      </c>
      <c r="AA49" s="341">
        <f t="shared" si="20"/>
        <v>0</v>
      </c>
      <c r="AB49" s="341">
        <f t="shared" si="17"/>
        <v>0</v>
      </c>
      <c r="AC49" s="341">
        <f t="shared" si="17"/>
        <v>0</v>
      </c>
      <c r="AD49" s="363"/>
      <c r="AE49" s="363"/>
      <c r="AF49" s="363"/>
      <c r="AG49" s="363"/>
      <c r="AH49" s="363"/>
      <c r="AI49" s="363"/>
      <c r="AJ49" s="363"/>
      <c r="AK49" s="363"/>
      <c r="AL49" s="363"/>
      <c r="AM49" s="363"/>
      <c r="AN49" s="348">
        <f aca="true" t="shared" si="21" ref="AN49:AO84">AF49+AH49+AJ49+AL49</f>
        <v>0</v>
      </c>
      <c r="AO49" s="348">
        <f t="shared" si="21"/>
        <v>0</v>
      </c>
      <c r="AP49" s="386">
        <f t="shared" si="18"/>
        <v>0</v>
      </c>
      <c r="AQ49" s="286">
        <f t="shared" si="19"/>
        <v>0</v>
      </c>
      <c r="AR49" s="27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c r="CP49" s="213"/>
      <c r="CQ49" s="213"/>
      <c r="CR49" s="213"/>
      <c r="CS49" s="213"/>
      <c r="CT49" s="213"/>
      <c r="CU49" s="213"/>
      <c r="CV49" s="213"/>
      <c r="CW49" s="213"/>
      <c r="CX49" s="213"/>
      <c r="CY49" s="213"/>
      <c r="CZ49" s="214"/>
      <c r="DA49" s="214"/>
      <c r="DB49" s="214"/>
      <c r="DC49" s="214"/>
      <c r="DD49" s="214"/>
      <c r="DE49" s="214"/>
      <c r="DF49" s="214"/>
      <c r="DG49" s="214"/>
      <c r="DH49" s="214"/>
      <c r="DI49" s="214"/>
      <c r="DJ49" s="214"/>
      <c r="DK49" s="214"/>
      <c r="DL49" s="214"/>
      <c r="DM49" s="214"/>
    </row>
    <row r="50" spans="1:117" s="215" customFormat="1" ht="17.25" customHeight="1" hidden="1">
      <c r="A50" s="390">
        <v>3</v>
      </c>
      <c r="B50" s="284" t="s">
        <v>425</v>
      </c>
      <c r="C50" s="272"/>
      <c r="D50" s="272"/>
      <c r="E50" s="272"/>
      <c r="F50" s="272"/>
      <c r="G50" s="387">
        <v>213.696</v>
      </c>
      <c r="H50" s="273"/>
      <c r="I50" s="387">
        <v>194.269839</v>
      </c>
      <c r="J50" s="387"/>
      <c r="K50" s="387"/>
      <c r="L50" s="387"/>
      <c r="M50" s="387"/>
      <c r="N50" s="392">
        <v>140</v>
      </c>
      <c r="O50" s="392">
        <v>140</v>
      </c>
      <c r="P50" s="289"/>
      <c r="Q50" s="276"/>
      <c r="R50" s="276"/>
      <c r="S50" s="276"/>
      <c r="T50" s="276"/>
      <c r="U50" s="276"/>
      <c r="V50" s="276"/>
      <c r="W50" s="276"/>
      <c r="X50" s="345"/>
      <c r="Y50" s="362"/>
      <c r="Z50" s="341">
        <f t="shared" si="20"/>
        <v>0</v>
      </c>
      <c r="AA50" s="341">
        <f t="shared" si="20"/>
        <v>0</v>
      </c>
      <c r="AB50" s="289">
        <f t="shared" si="17"/>
        <v>140</v>
      </c>
      <c r="AC50" s="289">
        <f t="shared" si="17"/>
        <v>140</v>
      </c>
      <c r="AD50" s="363"/>
      <c r="AE50" s="363"/>
      <c r="AF50" s="363"/>
      <c r="AG50" s="363"/>
      <c r="AH50" s="363"/>
      <c r="AI50" s="363"/>
      <c r="AJ50" s="363"/>
      <c r="AK50" s="363"/>
      <c r="AL50" s="363"/>
      <c r="AM50" s="363"/>
      <c r="AN50" s="348">
        <f t="shared" si="21"/>
        <v>0</v>
      </c>
      <c r="AO50" s="348">
        <f t="shared" si="21"/>
        <v>0</v>
      </c>
      <c r="AP50" s="386">
        <f t="shared" si="18"/>
        <v>140</v>
      </c>
      <c r="AQ50" s="286">
        <f t="shared" si="19"/>
        <v>0</v>
      </c>
      <c r="AR50" s="27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c r="CP50" s="213"/>
      <c r="CQ50" s="213"/>
      <c r="CR50" s="213"/>
      <c r="CS50" s="213"/>
      <c r="CT50" s="213"/>
      <c r="CU50" s="213"/>
      <c r="CV50" s="213"/>
      <c r="CW50" s="213"/>
      <c r="CX50" s="213"/>
      <c r="CY50" s="213"/>
      <c r="CZ50" s="214"/>
      <c r="DA50" s="214"/>
      <c r="DB50" s="214"/>
      <c r="DC50" s="214"/>
      <c r="DD50" s="214"/>
      <c r="DE50" s="214"/>
      <c r="DF50" s="214"/>
      <c r="DG50" s="214"/>
      <c r="DH50" s="214"/>
      <c r="DI50" s="214"/>
      <c r="DJ50" s="214"/>
      <c r="DK50" s="214"/>
      <c r="DL50" s="214"/>
      <c r="DM50" s="214"/>
    </row>
    <row r="51" spans="1:117" s="215" customFormat="1" ht="17.25" customHeight="1" hidden="1">
      <c r="A51" s="390">
        <v>4</v>
      </c>
      <c r="B51" s="284" t="s">
        <v>409</v>
      </c>
      <c r="C51" s="272"/>
      <c r="D51" s="272"/>
      <c r="E51" s="272"/>
      <c r="F51" s="272"/>
      <c r="G51" s="387">
        <v>695.114</v>
      </c>
      <c r="H51" s="273"/>
      <c r="I51" s="387">
        <v>707.210019</v>
      </c>
      <c r="J51" s="387"/>
      <c r="K51" s="387"/>
      <c r="L51" s="387"/>
      <c r="M51" s="387"/>
      <c r="N51" s="392">
        <v>0</v>
      </c>
      <c r="O51" s="392"/>
      <c r="P51" s="289"/>
      <c r="Q51" s="276"/>
      <c r="R51" s="276"/>
      <c r="S51" s="276"/>
      <c r="T51" s="276"/>
      <c r="U51" s="276"/>
      <c r="V51" s="276"/>
      <c r="W51" s="276"/>
      <c r="X51" s="345"/>
      <c r="Y51" s="345"/>
      <c r="Z51" s="341">
        <f t="shared" si="20"/>
        <v>0</v>
      </c>
      <c r="AA51" s="341">
        <f t="shared" si="20"/>
        <v>0</v>
      </c>
      <c r="AB51" s="341">
        <f t="shared" si="17"/>
        <v>0</v>
      </c>
      <c r="AC51" s="341">
        <f t="shared" si="17"/>
        <v>0</v>
      </c>
      <c r="AD51" s="363"/>
      <c r="AE51" s="363"/>
      <c r="AF51" s="363"/>
      <c r="AG51" s="363"/>
      <c r="AH51" s="383"/>
      <c r="AI51" s="383">
        <f>171.87+66.432</f>
        <v>238.30200000000002</v>
      </c>
      <c r="AJ51" s="363"/>
      <c r="AK51" s="363"/>
      <c r="AL51" s="363"/>
      <c r="AM51" s="363"/>
      <c r="AN51" s="348">
        <f t="shared" si="21"/>
        <v>0</v>
      </c>
      <c r="AO51" s="348">
        <f t="shared" si="21"/>
        <v>238.30200000000002</v>
      </c>
      <c r="AP51" s="386">
        <f t="shared" si="18"/>
        <v>0</v>
      </c>
      <c r="AQ51" s="286">
        <f t="shared" si="19"/>
        <v>0</v>
      </c>
      <c r="AR51" s="27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c r="CO51" s="213"/>
      <c r="CP51" s="213"/>
      <c r="CQ51" s="213"/>
      <c r="CR51" s="213"/>
      <c r="CS51" s="213"/>
      <c r="CT51" s="213"/>
      <c r="CU51" s="213"/>
      <c r="CV51" s="213"/>
      <c r="CW51" s="213"/>
      <c r="CX51" s="213"/>
      <c r="CY51" s="213"/>
      <c r="CZ51" s="214"/>
      <c r="DA51" s="214"/>
      <c r="DB51" s="214"/>
      <c r="DC51" s="214"/>
      <c r="DD51" s="214"/>
      <c r="DE51" s="214"/>
      <c r="DF51" s="214"/>
      <c r="DG51" s="214"/>
      <c r="DH51" s="214"/>
      <c r="DI51" s="214"/>
      <c r="DJ51" s="214"/>
      <c r="DK51" s="214"/>
      <c r="DL51" s="214"/>
      <c r="DM51" s="214"/>
    </row>
    <row r="52" spans="1:117" s="215" customFormat="1" ht="30.75" customHeight="1" hidden="1">
      <c r="A52" s="390">
        <v>5</v>
      </c>
      <c r="B52" s="284" t="s">
        <v>426</v>
      </c>
      <c r="C52" s="272"/>
      <c r="D52" s="272"/>
      <c r="E52" s="272"/>
      <c r="F52" s="272"/>
      <c r="G52" s="387">
        <v>300</v>
      </c>
      <c r="H52" s="273"/>
      <c r="I52" s="387">
        <v>360</v>
      </c>
      <c r="J52" s="387"/>
      <c r="K52" s="387"/>
      <c r="L52" s="387"/>
      <c r="M52" s="387"/>
      <c r="N52" s="392">
        <v>360</v>
      </c>
      <c r="O52" s="392">
        <v>360</v>
      </c>
      <c r="P52" s="289"/>
      <c r="Q52" s="276"/>
      <c r="R52" s="276"/>
      <c r="S52" s="276"/>
      <c r="T52" s="276"/>
      <c r="U52" s="276"/>
      <c r="V52" s="276"/>
      <c r="W52" s="276"/>
      <c r="X52" s="345"/>
      <c r="Y52" s="345"/>
      <c r="Z52" s="341">
        <f t="shared" si="20"/>
        <v>0</v>
      </c>
      <c r="AA52" s="341">
        <f t="shared" si="20"/>
        <v>0</v>
      </c>
      <c r="AB52" s="289">
        <f t="shared" si="17"/>
        <v>360</v>
      </c>
      <c r="AC52" s="289">
        <f t="shared" si="17"/>
        <v>360</v>
      </c>
      <c r="AD52" s="363"/>
      <c r="AE52" s="363"/>
      <c r="AF52" s="363"/>
      <c r="AG52" s="363"/>
      <c r="AH52" s="383"/>
      <c r="AI52" s="383"/>
      <c r="AJ52" s="363"/>
      <c r="AK52" s="363"/>
      <c r="AL52" s="363"/>
      <c r="AM52" s="363"/>
      <c r="AN52" s="348">
        <f t="shared" si="21"/>
        <v>0</v>
      </c>
      <c r="AO52" s="348">
        <f t="shared" si="21"/>
        <v>0</v>
      </c>
      <c r="AP52" s="386">
        <f t="shared" si="18"/>
        <v>360</v>
      </c>
      <c r="AQ52" s="286">
        <f t="shared" si="19"/>
        <v>0</v>
      </c>
      <c r="AR52" s="27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c r="CO52" s="213"/>
      <c r="CP52" s="213"/>
      <c r="CQ52" s="213"/>
      <c r="CR52" s="213"/>
      <c r="CS52" s="213"/>
      <c r="CT52" s="213"/>
      <c r="CU52" s="213"/>
      <c r="CV52" s="213"/>
      <c r="CW52" s="213"/>
      <c r="CX52" s="213"/>
      <c r="CY52" s="213"/>
      <c r="CZ52" s="214"/>
      <c r="DA52" s="214"/>
      <c r="DB52" s="214"/>
      <c r="DC52" s="214"/>
      <c r="DD52" s="214"/>
      <c r="DE52" s="214"/>
      <c r="DF52" s="214"/>
      <c r="DG52" s="214"/>
      <c r="DH52" s="214"/>
      <c r="DI52" s="214"/>
      <c r="DJ52" s="214"/>
      <c r="DK52" s="214"/>
      <c r="DL52" s="214"/>
      <c r="DM52" s="214"/>
    </row>
    <row r="53" spans="1:117" s="215" customFormat="1" ht="17.25" customHeight="1" hidden="1">
      <c r="A53" s="390">
        <v>6</v>
      </c>
      <c r="B53" s="284" t="s">
        <v>399</v>
      </c>
      <c r="C53" s="272"/>
      <c r="D53" s="272"/>
      <c r="E53" s="272"/>
      <c r="F53" s="272"/>
      <c r="G53" s="387">
        <v>52.492</v>
      </c>
      <c r="H53" s="273"/>
      <c r="I53" s="387">
        <v>87.933394</v>
      </c>
      <c r="J53" s="387"/>
      <c r="K53" s="387"/>
      <c r="L53" s="387"/>
      <c r="M53" s="387"/>
      <c r="N53" s="372">
        <v>0</v>
      </c>
      <c r="O53" s="372"/>
      <c r="P53" s="289"/>
      <c r="Q53" s="276"/>
      <c r="R53" s="276"/>
      <c r="S53" s="276"/>
      <c r="T53" s="276"/>
      <c r="U53" s="276"/>
      <c r="V53" s="276"/>
      <c r="W53" s="276"/>
      <c r="X53" s="360"/>
      <c r="Y53" s="360"/>
      <c r="Z53" s="341">
        <f t="shared" si="20"/>
        <v>0</v>
      </c>
      <c r="AA53" s="341">
        <f t="shared" si="20"/>
        <v>0</v>
      </c>
      <c r="AB53" s="341">
        <f t="shared" si="17"/>
        <v>0</v>
      </c>
      <c r="AC53" s="341">
        <f t="shared" si="17"/>
        <v>0</v>
      </c>
      <c r="AD53" s="363"/>
      <c r="AE53" s="363"/>
      <c r="AF53" s="363"/>
      <c r="AG53" s="363"/>
      <c r="AH53" s="383">
        <v>15.471</v>
      </c>
      <c r="AI53" s="383">
        <v>15.471</v>
      </c>
      <c r="AJ53" s="363"/>
      <c r="AK53" s="363"/>
      <c r="AL53" s="363"/>
      <c r="AM53" s="363"/>
      <c r="AN53" s="348">
        <f t="shared" si="21"/>
        <v>15.471</v>
      </c>
      <c r="AO53" s="348">
        <f t="shared" si="21"/>
        <v>15.471</v>
      </c>
      <c r="AP53" s="386">
        <f t="shared" si="18"/>
        <v>15.471</v>
      </c>
      <c r="AQ53" s="286">
        <f t="shared" si="19"/>
        <v>0</v>
      </c>
      <c r="AR53" s="27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c r="CP53" s="213"/>
      <c r="CQ53" s="213"/>
      <c r="CR53" s="213"/>
      <c r="CS53" s="213"/>
      <c r="CT53" s="213"/>
      <c r="CU53" s="213"/>
      <c r="CV53" s="213"/>
      <c r="CW53" s="213"/>
      <c r="CX53" s="213"/>
      <c r="CY53" s="213"/>
      <c r="CZ53" s="214"/>
      <c r="DA53" s="214"/>
      <c r="DB53" s="214"/>
      <c r="DC53" s="214"/>
      <c r="DD53" s="214"/>
      <c r="DE53" s="214"/>
      <c r="DF53" s="214"/>
      <c r="DG53" s="214"/>
      <c r="DH53" s="214"/>
      <c r="DI53" s="214"/>
      <c r="DJ53" s="214"/>
      <c r="DK53" s="214"/>
      <c r="DL53" s="214"/>
      <c r="DM53" s="214"/>
    </row>
    <row r="54" spans="1:117" s="215" customFormat="1" ht="17.25" customHeight="1" hidden="1">
      <c r="A54" s="390">
        <v>7</v>
      </c>
      <c r="B54" s="284" t="s">
        <v>417</v>
      </c>
      <c r="C54" s="272"/>
      <c r="D54" s="272"/>
      <c r="E54" s="272"/>
      <c r="F54" s="272"/>
      <c r="G54" s="387">
        <f>941.394</f>
        <v>941.394</v>
      </c>
      <c r="H54" s="273"/>
      <c r="I54" s="387">
        <v>370.588674</v>
      </c>
      <c r="J54" s="387"/>
      <c r="K54" s="387"/>
      <c r="L54" s="387"/>
      <c r="M54" s="387"/>
      <c r="N54" s="372">
        <v>0</v>
      </c>
      <c r="O54" s="372"/>
      <c r="P54" s="289"/>
      <c r="Q54" s="393"/>
      <c r="R54" s="393"/>
      <c r="S54" s="393"/>
      <c r="T54" s="393"/>
      <c r="U54" s="394"/>
      <c r="V54" s="394"/>
      <c r="W54" s="394"/>
      <c r="X54" s="345"/>
      <c r="Y54" s="345"/>
      <c r="Z54" s="341">
        <f t="shared" si="20"/>
        <v>0</v>
      </c>
      <c r="AA54" s="341">
        <f t="shared" si="20"/>
        <v>0</v>
      </c>
      <c r="AB54" s="341">
        <f t="shared" si="17"/>
        <v>0</v>
      </c>
      <c r="AC54" s="341">
        <f t="shared" si="17"/>
        <v>0</v>
      </c>
      <c r="AD54" s="363"/>
      <c r="AE54" s="363"/>
      <c r="AF54" s="363"/>
      <c r="AG54" s="363"/>
      <c r="AH54" s="363"/>
      <c r="AI54" s="363"/>
      <c r="AJ54" s="363"/>
      <c r="AK54" s="363"/>
      <c r="AL54" s="363"/>
      <c r="AM54" s="363"/>
      <c r="AN54" s="348">
        <f t="shared" si="21"/>
        <v>0</v>
      </c>
      <c r="AO54" s="348">
        <f t="shared" si="21"/>
        <v>0</v>
      </c>
      <c r="AP54" s="386">
        <f t="shared" si="18"/>
        <v>0</v>
      </c>
      <c r="AQ54" s="286">
        <f t="shared" si="19"/>
        <v>0</v>
      </c>
      <c r="AR54" s="27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c r="CP54" s="213"/>
      <c r="CQ54" s="213"/>
      <c r="CR54" s="213"/>
      <c r="CS54" s="213"/>
      <c r="CT54" s="213"/>
      <c r="CU54" s="213"/>
      <c r="CV54" s="213"/>
      <c r="CW54" s="213"/>
      <c r="CX54" s="213"/>
      <c r="CY54" s="213"/>
      <c r="CZ54" s="214"/>
      <c r="DA54" s="214"/>
      <c r="DB54" s="214"/>
      <c r="DC54" s="214"/>
      <c r="DD54" s="214"/>
      <c r="DE54" s="214"/>
      <c r="DF54" s="214"/>
      <c r="DG54" s="214"/>
      <c r="DH54" s="214"/>
      <c r="DI54" s="214"/>
      <c r="DJ54" s="214"/>
      <c r="DK54" s="214"/>
      <c r="DL54" s="214"/>
      <c r="DM54" s="214"/>
    </row>
    <row r="55" spans="1:117" s="215" customFormat="1" ht="58.5" customHeight="1">
      <c r="A55" s="395">
        <v>6</v>
      </c>
      <c r="B55" s="396" t="s">
        <v>427</v>
      </c>
      <c r="C55" s="397" t="s">
        <v>428</v>
      </c>
      <c r="D55" s="397"/>
      <c r="E55" s="397" t="s">
        <v>403</v>
      </c>
      <c r="F55" s="397" t="s">
        <v>429</v>
      </c>
      <c r="G55" s="398">
        <f>SUM(G56:G60)</f>
        <v>3200</v>
      </c>
      <c r="H55" s="399">
        <f>SUM(H56:H60)</f>
        <v>0</v>
      </c>
      <c r="I55" s="399">
        <f>SUM(I56:I60)</f>
        <v>0</v>
      </c>
      <c r="J55" s="399"/>
      <c r="K55" s="399"/>
      <c r="L55" s="399"/>
      <c r="M55" s="399"/>
      <c r="N55" s="399">
        <f aca="true" t="shared" si="22" ref="N55:AO55">SUM(N56:N60)</f>
        <v>0</v>
      </c>
      <c r="O55" s="399">
        <f t="shared" si="22"/>
        <v>0</v>
      </c>
      <c r="P55" s="399">
        <f t="shared" si="22"/>
        <v>0</v>
      </c>
      <c r="Q55" s="399">
        <f>G55</f>
        <v>3200</v>
      </c>
      <c r="R55" s="399">
        <f t="shared" si="22"/>
        <v>0</v>
      </c>
      <c r="S55" s="399">
        <f t="shared" si="22"/>
        <v>0</v>
      </c>
      <c r="T55" s="399">
        <f t="shared" si="22"/>
        <v>0</v>
      </c>
      <c r="U55" s="399">
        <f t="shared" si="22"/>
        <v>0</v>
      </c>
      <c r="V55" s="399">
        <f t="shared" si="22"/>
        <v>0</v>
      </c>
      <c r="W55" s="399">
        <f t="shared" si="22"/>
        <v>0</v>
      </c>
      <c r="X55" s="399">
        <f t="shared" si="22"/>
        <v>0</v>
      </c>
      <c r="Y55" s="399">
        <f t="shared" si="22"/>
        <v>0</v>
      </c>
      <c r="Z55" s="399">
        <f t="shared" si="22"/>
        <v>0</v>
      </c>
      <c r="AA55" s="399">
        <f t="shared" si="22"/>
        <v>0</v>
      </c>
      <c r="AB55" s="399">
        <f t="shared" si="22"/>
        <v>131.814</v>
      </c>
      <c r="AC55" s="399">
        <f t="shared" si="22"/>
        <v>0</v>
      </c>
      <c r="AD55" s="399">
        <f t="shared" si="22"/>
        <v>0</v>
      </c>
      <c r="AE55" s="399">
        <f t="shared" si="22"/>
        <v>0</v>
      </c>
      <c r="AF55" s="399">
        <f t="shared" si="22"/>
        <v>2248.3106604000004</v>
      </c>
      <c r="AG55" s="399">
        <f t="shared" si="22"/>
        <v>0</v>
      </c>
      <c r="AH55" s="399">
        <f t="shared" si="22"/>
        <v>809.3953395999997</v>
      </c>
      <c r="AI55" s="399">
        <f t="shared" si="22"/>
        <v>0</v>
      </c>
      <c r="AJ55" s="399">
        <f t="shared" si="22"/>
        <v>0</v>
      </c>
      <c r="AK55" s="399">
        <f t="shared" si="22"/>
        <v>0</v>
      </c>
      <c r="AL55" s="399">
        <f t="shared" si="22"/>
        <v>0</v>
      </c>
      <c r="AM55" s="399">
        <f t="shared" si="22"/>
        <v>0</v>
      </c>
      <c r="AN55" s="400">
        <f t="shared" si="22"/>
        <v>3057.7059999999997</v>
      </c>
      <c r="AO55" s="399">
        <f t="shared" si="22"/>
        <v>0</v>
      </c>
      <c r="AP55" s="401">
        <f>SUM(AP56:AP60)</f>
        <v>3189.52</v>
      </c>
      <c r="AQ55" s="286">
        <f t="shared" si="19"/>
        <v>3200</v>
      </c>
      <c r="AR55" s="395" t="s">
        <v>521</v>
      </c>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c r="CO55" s="213"/>
      <c r="CP55" s="213"/>
      <c r="CQ55" s="213"/>
      <c r="CR55" s="213"/>
      <c r="CS55" s="213"/>
      <c r="CT55" s="213"/>
      <c r="CU55" s="213"/>
      <c r="CV55" s="213"/>
      <c r="CW55" s="213"/>
      <c r="CX55" s="213"/>
      <c r="CY55" s="213"/>
      <c r="CZ55" s="214"/>
      <c r="DA55" s="214"/>
      <c r="DB55" s="214"/>
      <c r="DC55" s="214"/>
      <c r="DD55" s="214"/>
      <c r="DE55" s="214"/>
      <c r="DF55" s="214"/>
      <c r="DG55" s="214"/>
      <c r="DH55" s="214"/>
      <c r="DI55" s="214"/>
      <c r="DJ55" s="214"/>
      <c r="DK55" s="214"/>
      <c r="DL55" s="214"/>
      <c r="DM55" s="214"/>
    </row>
    <row r="56" spans="1:117" s="215" customFormat="1" ht="12.75" hidden="1">
      <c r="A56" s="402" t="s">
        <v>410</v>
      </c>
      <c r="B56" s="403" t="s">
        <v>423</v>
      </c>
      <c r="C56" s="404"/>
      <c r="D56" s="404"/>
      <c r="E56" s="404"/>
      <c r="F56" s="404"/>
      <c r="G56" s="405">
        <v>2856.46</v>
      </c>
      <c r="H56" s="406"/>
      <c r="I56" s="407"/>
      <c r="J56" s="407"/>
      <c r="K56" s="407"/>
      <c r="L56" s="407"/>
      <c r="M56" s="407"/>
      <c r="N56" s="408"/>
      <c r="O56" s="408"/>
      <c r="P56" s="408"/>
      <c r="Q56" s="399">
        <f aca="true" t="shared" si="23" ref="Q56:Q86">G56</f>
        <v>2856.46</v>
      </c>
      <c r="R56" s="408"/>
      <c r="S56" s="408"/>
      <c r="T56" s="408"/>
      <c r="U56" s="408"/>
      <c r="V56" s="408"/>
      <c r="W56" s="408"/>
      <c r="X56" s="409"/>
      <c r="Y56" s="409"/>
      <c r="Z56" s="408"/>
      <c r="AA56" s="408"/>
      <c r="AB56" s="408"/>
      <c r="AC56" s="408"/>
      <c r="AD56" s="410"/>
      <c r="AE56" s="410"/>
      <c r="AF56" s="410">
        <v>2123.8796104000003</v>
      </c>
      <c r="AG56" s="410"/>
      <c r="AH56" s="410">
        <v>732.5803895999998</v>
      </c>
      <c r="AI56" s="410"/>
      <c r="AJ56" s="410"/>
      <c r="AK56" s="410"/>
      <c r="AL56" s="410"/>
      <c r="AM56" s="410"/>
      <c r="AN56" s="411">
        <f t="shared" si="21"/>
        <v>2856.46</v>
      </c>
      <c r="AO56" s="411">
        <f t="shared" si="21"/>
        <v>0</v>
      </c>
      <c r="AP56" s="412">
        <f>AN56+AB56</f>
        <v>2856.46</v>
      </c>
      <c r="AQ56" s="286">
        <f t="shared" si="19"/>
        <v>2856.46</v>
      </c>
      <c r="AR56" s="406"/>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c r="CO56" s="213"/>
      <c r="CP56" s="213"/>
      <c r="CQ56" s="213"/>
      <c r="CR56" s="213"/>
      <c r="CS56" s="213"/>
      <c r="CT56" s="213"/>
      <c r="CU56" s="213"/>
      <c r="CV56" s="213"/>
      <c r="CW56" s="213"/>
      <c r="CX56" s="213"/>
      <c r="CY56" s="213"/>
      <c r="CZ56" s="214"/>
      <c r="DA56" s="214"/>
      <c r="DB56" s="214"/>
      <c r="DC56" s="214"/>
      <c r="DD56" s="214"/>
      <c r="DE56" s="214"/>
      <c r="DF56" s="214"/>
      <c r="DG56" s="214"/>
      <c r="DH56" s="214"/>
      <c r="DI56" s="214"/>
      <c r="DJ56" s="214"/>
      <c r="DK56" s="214"/>
      <c r="DL56" s="214"/>
      <c r="DM56" s="214"/>
    </row>
    <row r="57" spans="1:117" s="215" customFormat="1" ht="12.75" hidden="1">
      <c r="A57" s="413" t="s">
        <v>410</v>
      </c>
      <c r="B57" s="414" t="s">
        <v>408</v>
      </c>
      <c r="C57" s="272"/>
      <c r="D57" s="272"/>
      <c r="E57" s="272"/>
      <c r="F57" s="272"/>
      <c r="G57" s="391">
        <v>65.543</v>
      </c>
      <c r="H57" s="273"/>
      <c r="I57" s="415"/>
      <c r="J57" s="415"/>
      <c r="K57" s="415"/>
      <c r="L57" s="415"/>
      <c r="M57" s="415"/>
      <c r="N57" s="289"/>
      <c r="O57" s="289"/>
      <c r="P57" s="289"/>
      <c r="Q57" s="399">
        <f t="shared" si="23"/>
        <v>65.543</v>
      </c>
      <c r="R57" s="289"/>
      <c r="S57" s="289"/>
      <c r="T57" s="289"/>
      <c r="U57" s="289"/>
      <c r="V57" s="289"/>
      <c r="W57" s="289"/>
      <c r="X57" s="345"/>
      <c r="Y57" s="345"/>
      <c r="Z57" s="289"/>
      <c r="AA57" s="289"/>
      <c r="AB57" s="289"/>
      <c r="AC57" s="289"/>
      <c r="AD57" s="363"/>
      <c r="AE57" s="363"/>
      <c r="AF57" s="363">
        <v>53.60672160000001</v>
      </c>
      <c r="AG57" s="363"/>
      <c r="AH57" s="363">
        <v>11.933278399999999</v>
      </c>
      <c r="AI57" s="363"/>
      <c r="AJ57" s="363"/>
      <c r="AK57" s="363"/>
      <c r="AL57" s="363"/>
      <c r="AM57" s="363"/>
      <c r="AN57" s="348">
        <f t="shared" si="21"/>
        <v>65.54</v>
      </c>
      <c r="AO57" s="348">
        <f t="shared" si="21"/>
        <v>0</v>
      </c>
      <c r="AP57" s="386">
        <f>AN57+AB57</f>
        <v>65.54</v>
      </c>
      <c r="AQ57" s="286">
        <f t="shared" si="19"/>
        <v>65.543</v>
      </c>
      <c r="AR57" s="27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c r="CP57" s="213"/>
      <c r="CQ57" s="213"/>
      <c r="CR57" s="213"/>
      <c r="CS57" s="213"/>
      <c r="CT57" s="213"/>
      <c r="CU57" s="213"/>
      <c r="CV57" s="213"/>
      <c r="CW57" s="213"/>
      <c r="CX57" s="213"/>
      <c r="CY57" s="213"/>
      <c r="CZ57" s="214"/>
      <c r="DA57" s="214"/>
      <c r="DB57" s="214"/>
      <c r="DC57" s="214"/>
      <c r="DD57" s="214"/>
      <c r="DE57" s="214"/>
      <c r="DF57" s="214"/>
      <c r="DG57" s="214"/>
      <c r="DH57" s="214"/>
      <c r="DI57" s="214"/>
      <c r="DJ57" s="214"/>
      <c r="DK57" s="214"/>
      <c r="DL57" s="214"/>
      <c r="DM57" s="214"/>
    </row>
    <row r="58" spans="1:117" s="215" customFormat="1" ht="12.75" hidden="1">
      <c r="A58" s="413" t="s">
        <v>410</v>
      </c>
      <c r="B58" s="414" t="s">
        <v>430</v>
      </c>
      <c r="C58" s="272"/>
      <c r="D58" s="272"/>
      <c r="E58" s="272"/>
      <c r="F58" s="272"/>
      <c r="G58" s="391">
        <v>254.362</v>
      </c>
      <c r="H58" s="273"/>
      <c r="I58" s="415"/>
      <c r="J58" s="415"/>
      <c r="K58" s="415"/>
      <c r="L58" s="415"/>
      <c r="M58" s="415"/>
      <c r="N58" s="289"/>
      <c r="O58" s="289"/>
      <c r="P58" s="289"/>
      <c r="Q58" s="399">
        <f t="shared" si="23"/>
        <v>254.362</v>
      </c>
      <c r="R58" s="289"/>
      <c r="S58" s="289"/>
      <c r="T58" s="289"/>
      <c r="U58" s="289"/>
      <c r="V58" s="289"/>
      <c r="W58" s="289"/>
      <c r="X58" s="345"/>
      <c r="Y58" s="345"/>
      <c r="Z58" s="289"/>
      <c r="AA58" s="289"/>
      <c r="AB58" s="416">
        <f>121.036+10.778</f>
        <v>131.814</v>
      </c>
      <c r="AC58" s="289"/>
      <c r="AD58" s="363"/>
      <c r="AE58" s="363"/>
      <c r="AF58" s="363">
        <f>189.4783284-AB58</f>
        <v>57.66432840000002</v>
      </c>
      <c r="AG58" s="363"/>
      <c r="AH58" s="363">
        <v>64.8816716</v>
      </c>
      <c r="AI58" s="363"/>
      <c r="AJ58" s="363"/>
      <c r="AK58" s="363"/>
      <c r="AL58" s="363"/>
      <c r="AM58" s="363"/>
      <c r="AN58" s="348">
        <f t="shared" si="21"/>
        <v>122.54600000000002</v>
      </c>
      <c r="AO58" s="348">
        <f t="shared" si="21"/>
        <v>0</v>
      </c>
      <c r="AP58" s="386">
        <f>AN58+AB58</f>
        <v>254.36</v>
      </c>
      <c r="AQ58" s="286">
        <f t="shared" si="19"/>
        <v>254.362</v>
      </c>
      <c r="AR58" s="27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4"/>
      <c r="DA58" s="214"/>
      <c r="DB58" s="214"/>
      <c r="DC58" s="214"/>
      <c r="DD58" s="214"/>
      <c r="DE58" s="214"/>
      <c r="DF58" s="214"/>
      <c r="DG58" s="214"/>
      <c r="DH58" s="214"/>
      <c r="DI58" s="214"/>
      <c r="DJ58" s="214"/>
      <c r="DK58" s="214"/>
      <c r="DL58" s="214"/>
      <c r="DM58" s="214"/>
    </row>
    <row r="59" spans="1:117" s="215" customFormat="1" ht="12.75" hidden="1">
      <c r="A59" s="413" t="s">
        <v>410</v>
      </c>
      <c r="B59" s="414" t="s">
        <v>399</v>
      </c>
      <c r="C59" s="272"/>
      <c r="D59" s="272"/>
      <c r="E59" s="272"/>
      <c r="F59" s="272"/>
      <c r="G59" s="391">
        <v>13.16</v>
      </c>
      <c r="H59" s="273"/>
      <c r="I59" s="289"/>
      <c r="J59" s="289"/>
      <c r="K59" s="289"/>
      <c r="L59" s="289"/>
      <c r="M59" s="289"/>
      <c r="N59" s="289"/>
      <c r="O59" s="289"/>
      <c r="P59" s="289"/>
      <c r="Q59" s="399">
        <f t="shared" si="23"/>
        <v>13.16</v>
      </c>
      <c r="R59" s="289"/>
      <c r="S59" s="289"/>
      <c r="T59" s="289"/>
      <c r="U59" s="289"/>
      <c r="V59" s="289"/>
      <c r="W59" s="289"/>
      <c r="X59" s="345"/>
      <c r="Y59" s="345"/>
      <c r="Z59" s="289"/>
      <c r="AA59" s="289"/>
      <c r="AB59" s="289"/>
      <c r="AC59" s="289"/>
      <c r="AD59" s="363"/>
      <c r="AE59" s="363"/>
      <c r="AF59" s="363">
        <v>13.16</v>
      </c>
      <c r="AG59" s="363"/>
      <c r="AH59" s="363">
        <v>0</v>
      </c>
      <c r="AI59" s="363"/>
      <c r="AJ59" s="363"/>
      <c r="AK59" s="363"/>
      <c r="AL59" s="363"/>
      <c r="AM59" s="363"/>
      <c r="AN59" s="348">
        <f t="shared" si="21"/>
        <v>13.16</v>
      </c>
      <c r="AO59" s="348">
        <f t="shared" si="21"/>
        <v>0</v>
      </c>
      <c r="AP59" s="386">
        <f>AN59+AB59</f>
        <v>13.16</v>
      </c>
      <c r="AQ59" s="286">
        <f t="shared" si="19"/>
        <v>13.16</v>
      </c>
      <c r="AR59" s="27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c r="CO59" s="213"/>
      <c r="CP59" s="213"/>
      <c r="CQ59" s="213"/>
      <c r="CR59" s="213"/>
      <c r="CS59" s="213"/>
      <c r="CT59" s="213"/>
      <c r="CU59" s="213"/>
      <c r="CV59" s="213"/>
      <c r="CW59" s="213"/>
      <c r="CX59" s="213"/>
      <c r="CY59" s="213"/>
      <c r="CZ59" s="214"/>
      <c r="DA59" s="214"/>
      <c r="DB59" s="214"/>
      <c r="DC59" s="214"/>
      <c r="DD59" s="214"/>
      <c r="DE59" s="214"/>
      <c r="DF59" s="214"/>
      <c r="DG59" s="214"/>
      <c r="DH59" s="214"/>
      <c r="DI59" s="214"/>
      <c r="DJ59" s="214"/>
      <c r="DK59" s="214"/>
      <c r="DL59" s="214"/>
      <c r="DM59" s="214"/>
    </row>
    <row r="60" spans="1:117" s="215" customFormat="1" ht="12.75" hidden="1">
      <c r="A60" s="413" t="s">
        <v>410</v>
      </c>
      <c r="B60" s="414" t="s">
        <v>417</v>
      </c>
      <c r="C60" s="272"/>
      <c r="D60" s="272"/>
      <c r="E60" s="272"/>
      <c r="F60" s="272"/>
      <c r="G60" s="391">
        <v>10.475</v>
      </c>
      <c r="H60" s="273"/>
      <c r="I60" s="289"/>
      <c r="J60" s="289"/>
      <c r="K60" s="289"/>
      <c r="L60" s="289"/>
      <c r="M60" s="289"/>
      <c r="N60" s="289"/>
      <c r="O60" s="289"/>
      <c r="P60" s="289"/>
      <c r="Q60" s="399">
        <f t="shared" si="23"/>
        <v>10.475</v>
      </c>
      <c r="R60" s="289"/>
      <c r="S60" s="289"/>
      <c r="T60" s="289"/>
      <c r="U60" s="289"/>
      <c r="V60" s="289"/>
      <c r="W60" s="289"/>
      <c r="X60" s="345"/>
      <c r="Y60" s="345"/>
      <c r="Z60" s="289"/>
      <c r="AA60" s="289"/>
      <c r="AB60" s="289"/>
      <c r="AC60" s="289"/>
      <c r="AD60" s="363"/>
      <c r="AE60" s="363"/>
      <c r="AF60" s="363"/>
      <c r="AG60" s="363"/>
      <c r="AH60" s="363"/>
      <c r="AI60" s="363"/>
      <c r="AJ60" s="363"/>
      <c r="AK60" s="363"/>
      <c r="AL60" s="363"/>
      <c r="AM60" s="363"/>
      <c r="AN60" s="348">
        <f t="shared" si="21"/>
        <v>0</v>
      </c>
      <c r="AO60" s="348">
        <f t="shared" si="21"/>
        <v>0</v>
      </c>
      <c r="AP60" s="386">
        <f>AN60+AB60</f>
        <v>0</v>
      </c>
      <c r="AQ60" s="286">
        <f t="shared" si="19"/>
        <v>10.475</v>
      </c>
      <c r="AR60" s="27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c r="CP60" s="213"/>
      <c r="CQ60" s="213"/>
      <c r="CR60" s="213"/>
      <c r="CS60" s="213"/>
      <c r="CT60" s="213"/>
      <c r="CU60" s="213"/>
      <c r="CV60" s="213"/>
      <c r="CW60" s="213"/>
      <c r="CX60" s="213"/>
      <c r="CY60" s="213"/>
      <c r="CZ60" s="214"/>
      <c r="DA60" s="214"/>
      <c r="DB60" s="214"/>
      <c r="DC60" s="214"/>
      <c r="DD60" s="214"/>
      <c r="DE60" s="214"/>
      <c r="DF60" s="214"/>
      <c r="DG60" s="214"/>
      <c r="DH60" s="214"/>
      <c r="DI60" s="214"/>
      <c r="DJ60" s="214"/>
      <c r="DK60" s="214"/>
      <c r="DL60" s="214"/>
      <c r="DM60" s="214"/>
    </row>
    <row r="61" spans="1:117" s="215" customFormat="1" ht="57.75" customHeight="1">
      <c r="A61" s="273">
        <v>7</v>
      </c>
      <c r="B61" s="414" t="s">
        <v>431</v>
      </c>
      <c r="C61" s="272" t="s">
        <v>432</v>
      </c>
      <c r="D61" s="272"/>
      <c r="E61" s="272"/>
      <c r="F61" s="272" t="s">
        <v>433</v>
      </c>
      <c r="G61" s="417">
        <f>SUM(G62:G66)</f>
        <v>1500.0001338162401</v>
      </c>
      <c r="H61" s="290">
        <f>SUM(H62:H66)</f>
        <v>0</v>
      </c>
      <c r="I61" s="290">
        <f>SUM(I62:I66)</f>
        <v>0</v>
      </c>
      <c r="J61" s="290"/>
      <c r="K61" s="290"/>
      <c r="L61" s="290"/>
      <c r="M61" s="290"/>
      <c r="N61" s="290">
        <f aca="true" t="shared" si="24" ref="N61:AO61">SUM(N62:N66)</f>
        <v>0</v>
      </c>
      <c r="O61" s="290">
        <f t="shared" si="24"/>
        <v>0</v>
      </c>
      <c r="P61" s="290">
        <f t="shared" si="24"/>
        <v>0</v>
      </c>
      <c r="Q61" s="399">
        <f t="shared" si="23"/>
        <v>1500.0001338162401</v>
      </c>
      <c r="R61" s="290">
        <f t="shared" si="24"/>
        <v>0</v>
      </c>
      <c r="S61" s="290">
        <f t="shared" si="24"/>
        <v>0</v>
      </c>
      <c r="T61" s="290">
        <f t="shared" si="24"/>
        <v>0</v>
      </c>
      <c r="U61" s="290">
        <f t="shared" si="24"/>
        <v>0</v>
      </c>
      <c r="V61" s="290">
        <f t="shared" si="24"/>
        <v>0</v>
      </c>
      <c r="W61" s="290">
        <f t="shared" si="24"/>
        <v>0</v>
      </c>
      <c r="X61" s="290">
        <f t="shared" si="24"/>
        <v>0</v>
      </c>
      <c r="Y61" s="290">
        <f t="shared" si="24"/>
        <v>0</v>
      </c>
      <c r="Z61" s="290">
        <f t="shared" si="24"/>
        <v>0</v>
      </c>
      <c r="AA61" s="290">
        <f t="shared" si="24"/>
        <v>0</v>
      </c>
      <c r="AB61" s="290">
        <f t="shared" si="24"/>
        <v>56.303425999999995</v>
      </c>
      <c r="AC61" s="290">
        <f t="shared" si="24"/>
        <v>0</v>
      </c>
      <c r="AD61" s="290">
        <f t="shared" si="24"/>
        <v>0</v>
      </c>
      <c r="AE61" s="290">
        <f t="shared" si="24"/>
        <v>0</v>
      </c>
      <c r="AF61" s="290">
        <f t="shared" si="24"/>
        <v>1247.0432733000002</v>
      </c>
      <c r="AG61" s="290">
        <f t="shared" si="24"/>
        <v>0</v>
      </c>
      <c r="AH61" s="290">
        <f t="shared" si="24"/>
        <v>99.94373422682662</v>
      </c>
      <c r="AI61" s="290">
        <f t="shared" si="24"/>
        <v>0</v>
      </c>
      <c r="AJ61" s="290">
        <f t="shared" si="24"/>
        <v>0</v>
      </c>
      <c r="AK61" s="290">
        <f t="shared" si="24"/>
        <v>0</v>
      </c>
      <c r="AL61" s="290">
        <f t="shared" si="24"/>
        <v>0</v>
      </c>
      <c r="AM61" s="290">
        <f t="shared" si="24"/>
        <v>0</v>
      </c>
      <c r="AN61" s="290">
        <f t="shared" si="24"/>
        <v>1346.987007526827</v>
      </c>
      <c r="AO61" s="290">
        <f t="shared" si="24"/>
        <v>0</v>
      </c>
      <c r="AP61" s="418">
        <f>SUM(AP62:AP66)</f>
        <v>1403.290433526827</v>
      </c>
      <c r="AQ61" s="286">
        <f t="shared" si="19"/>
        <v>1500.0001338162401</v>
      </c>
      <c r="AR61" s="395" t="s">
        <v>521</v>
      </c>
      <c r="AS61" s="213"/>
      <c r="AT61" s="213">
        <v>3184</v>
      </c>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c r="CP61" s="213"/>
      <c r="CQ61" s="213"/>
      <c r="CR61" s="213"/>
      <c r="CS61" s="213"/>
      <c r="CT61" s="213"/>
      <c r="CU61" s="213"/>
      <c r="CV61" s="213"/>
      <c r="CW61" s="213"/>
      <c r="CX61" s="213"/>
      <c r="CY61" s="213"/>
      <c r="CZ61" s="214"/>
      <c r="DA61" s="214"/>
      <c r="DB61" s="214"/>
      <c r="DC61" s="214"/>
      <c r="DD61" s="214"/>
      <c r="DE61" s="214"/>
      <c r="DF61" s="214"/>
      <c r="DG61" s="214"/>
      <c r="DH61" s="214"/>
      <c r="DI61" s="214"/>
      <c r="DJ61" s="214"/>
      <c r="DK61" s="214"/>
      <c r="DL61" s="214"/>
      <c r="DM61" s="214"/>
    </row>
    <row r="62" spans="1:117" s="215" customFormat="1" ht="12.75" hidden="1">
      <c r="A62" s="413" t="s">
        <v>410</v>
      </c>
      <c r="B62" s="414" t="s">
        <v>423</v>
      </c>
      <c r="C62" s="272"/>
      <c r="D62" s="272"/>
      <c r="E62" s="272"/>
      <c r="F62" s="272"/>
      <c r="G62" s="419">
        <v>1270.74113381624</v>
      </c>
      <c r="H62" s="273"/>
      <c r="I62" s="289"/>
      <c r="J62" s="289"/>
      <c r="K62" s="289"/>
      <c r="L62" s="289"/>
      <c r="M62" s="289"/>
      <c r="N62" s="289"/>
      <c r="O62" s="289"/>
      <c r="P62" s="289"/>
      <c r="Q62" s="399">
        <f t="shared" si="23"/>
        <v>1270.74113381624</v>
      </c>
      <c r="R62" s="289"/>
      <c r="S62" s="289"/>
      <c r="T62" s="289"/>
      <c r="U62" s="289"/>
      <c r="V62" s="289"/>
      <c r="W62" s="289"/>
      <c r="X62" s="345"/>
      <c r="Y62" s="345"/>
      <c r="Z62" s="289"/>
      <c r="AA62" s="289"/>
      <c r="AB62" s="289"/>
      <c r="AC62" s="289"/>
      <c r="AD62" s="363"/>
      <c r="AE62" s="363"/>
      <c r="AF62" s="363">
        <v>1129.1604444000002</v>
      </c>
      <c r="AG62" s="363"/>
      <c r="AH62" s="363">
        <v>141.53955559999986</v>
      </c>
      <c r="AI62" s="363"/>
      <c r="AJ62" s="363"/>
      <c r="AK62" s="363"/>
      <c r="AL62" s="363"/>
      <c r="AM62" s="363"/>
      <c r="AN62" s="348">
        <f t="shared" si="21"/>
        <v>1270.7</v>
      </c>
      <c r="AO62" s="348">
        <f t="shared" si="21"/>
        <v>0</v>
      </c>
      <c r="AP62" s="386">
        <f>AN62+AB62</f>
        <v>1270.7</v>
      </c>
      <c r="AQ62" s="286">
        <f t="shared" si="19"/>
        <v>1270.74113381624</v>
      </c>
      <c r="AR62" s="273"/>
      <c r="AS62" s="213"/>
      <c r="AT62" s="213">
        <v>6014</v>
      </c>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c r="CO62" s="213"/>
      <c r="CP62" s="213"/>
      <c r="CQ62" s="213"/>
      <c r="CR62" s="213"/>
      <c r="CS62" s="213"/>
      <c r="CT62" s="213"/>
      <c r="CU62" s="213"/>
      <c r="CV62" s="213"/>
      <c r="CW62" s="213"/>
      <c r="CX62" s="213"/>
      <c r="CY62" s="213"/>
      <c r="CZ62" s="214"/>
      <c r="DA62" s="214"/>
      <c r="DB62" s="214"/>
      <c r="DC62" s="214"/>
      <c r="DD62" s="214"/>
      <c r="DE62" s="214"/>
      <c r="DF62" s="214"/>
      <c r="DG62" s="214"/>
      <c r="DH62" s="214"/>
      <c r="DI62" s="214"/>
      <c r="DJ62" s="214"/>
      <c r="DK62" s="214"/>
      <c r="DL62" s="214"/>
      <c r="DM62" s="214"/>
    </row>
    <row r="63" spans="1:117" s="215" customFormat="1" ht="12.75" hidden="1">
      <c r="A63" s="413" t="s">
        <v>410</v>
      </c>
      <c r="B63" s="414" t="s">
        <v>408</v>
      </c>
      <c r="C63" s="272"/>
      <c r="D63" s="272"/>
      <c r="E63" s="272"/>
      <c r="F63" s="272"/>
      <c r="G63" s="391">
        <v>29.158</v>
      </c>
      <c r="H63" s="273"/>
      <c r="I63" s="289"/>
      <c r="J63" s="289"/>
      <c r="K63" s="289"/>
      <c r="L63" s="289"/>
      <c r="M63" s="289"/>
      <c r="N63" s="289"/>
      <c r="O63" s="289"/>
      <c r="P63" s="289"/>
      <c r="Q63" s="399">
        <f t="shared" si="23"/>
        <v>29.158</v>
      </c>
      <c r="R63" s="289"/>
      <c r="S63" s="289"/>
      <c r="T63" s="289"/>
      <c r="U63" s="289"/>
      <c r="V63" s="289"/>
      <c r="W63" s="289"/>
      <c r="X63" s="345"/>
      <c r="Y63" s="345"/>
      <c r="Z63" s="289"/>
      <c r="AA63" s="289"/>
      <c r="AB63" s="289"/>
      <c r="AC63" s="289"/>
      <c r="AD63" s="363"/>
      <c r="AE63" s="363"/>
      <c r="AF63" s="363">
        <v>25.9090992</v>
      </c>
      <c r="AG63" s="363"/>
      <c r="AH63" s="363">
        <v>3.248633725019868</v>
      </c>
      <c r="AI63" s="363"/>
      <c r="AJ63" s="363"/>
      <c r="AK63" s="363"/>
      <c r="AL63" s="363"/>
      <c r="AM63" s="363"/>
      <c r="AN63" s="348">
        <f t="shared" si="21"/>
        <v>29.157732925019868</v>
      </c>
      <c r="AO63" s="348">
        <f t="shared" si="21"/>
        <v>0</v>
      </c>
      <c r="AP63" s="386">
        <f>AN63+AB63</f>
        <v>29.157732925019868</v>
      </c>
      <c r="AQ63" s="286">
        <f t="shared" si="19"/>
        <v>29.158</v>
      </c>
      <c r="AR63" s="273"/>
      <c r="AS63" s="213"/>
      <c r="AT63" s="236">
        <f>AT62/AT61*100</f>
        <v>188.8819095477387</v>
      </c>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c r="CP63" s="213"/>
      <c r="CQ63" s="213"/>
      <c r="CR63" s="213"/>
      <c r="CS63" s="213"/>
      <c r="CT63" s="213"/>
      <c r="CU63" s="213"/>
      <c r="CV63" s="213"/>
      <c r="CW63" s="213"/>
      <c r="CX63" s="213"/>
      <c r="CY63" s="213"/>
      <c r="CZ63" s="214"/>
      <c r="DA63" s="214"/>
      <c r="DB63" s="214"/>
      <c r="DC63" s="214"/>
      <c r="DD63" s="214"/>
      <c r="DE63" s="214"/>
      <c r="DF63" s="214"/>
      <c r="DG63" s="214"/>
      <c r="DH63" s="214"/>
      <c r="DI63" s="214"/>
      <c r="DJ63" s="214"/>
      <c r="DK63" s="214"/>
      <c r="DL63" s="214"/>
      <c r="DM63" s="214"/>
    </row>
    <row r="64" spans="1:117" s="215" customFormat="1" ht="12.75" hidden="1">
      <c r="A64" s="413" t="s">
        <v>410</v>
      </c>
      <c r="B64" s="414" t="s">
        <v>430</v>
      </c>
      <c r="C64" s="272"/>
      <c r="D64" s="272"/>
      <c r="E64" s="272"/>
      <c r="F64" s="272"/>
      <c r="G64" s="391">
        <v>97.733</v>
      </c>
      <c r="H64" s="273"/>
      <c r="I64" s="289"/>
      <c r="J64" s="289"/>
      <c r="K64" s="289"/>
      <c r="L64" s="289"/>
      <c r="M64" s="289"/>
      <c r="N64" s="289"/>
      <c r="O64" s="289"/>
      <c r="P64" s="289"/>
      <c r="Q64" s="399">
        <f t="shared" si="23"/>
        <v>97.733</v>
      </c>
      <c r="R64" s="289"/>
      <c r="S64" s="289"/>
      <c r="T64" s="289"/>
      <c r="U64" s="289"/>
      <c r="V64" s="289"/>
      <c r="W64" s="289"/>
      <c r="X64" s="345"/>
      <c r="Y64" s="345"/>
      <c r="Z64" s="289"/>
      <c r="AA64" s="289"/>
      <c r="AB64" s="391">
        <f>51.209658+5.093768</f>
        <v>56.303425999999995</v>
      </c>
      <c r="AC64" s="289"/>
      <c r="AD64" s="363"/>
      <c r="AE64" s="363"/>
      <c r="AF64" s="363">
        <f>143.1471557-AB64</f>
        <v>86.84372970000001</v>
      </c>
      <c r="AG64" s="363"/>
      <c r="AH64" s="363">
        <v>-45.41445509819309</v>
      </c>
      <c r="AI64" s="363"/>
      <c r="AJ64" s="363"/>
      <c r="AK64" s="363"/>
      <c r="AL64" s="363"/>
      <c r="AM64" s="363"/>
      <c r="AN64" s="348">
        <f t="shared" si="21"/>
        <v>41.429274601806924</v>
      </c>
      <c r="AO64" s="348">
        <f t="shared" si="21"/>
        <v>0</v>
      </c>
      <c r="AP64" s="386">
        <f>AN64+AB64</f>
        <v>97.73270060180693</v>
      </c>
      <c r="AQ64" s="286">
        <f t="shared" si="19"/>
        <v>97.733</v>
      </c>
      <c r="AR64" s="27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c r="CP64" s="213"/>
      <c r="CQ64" s="213"/>
      <c r="CR64" s="213"/>
      <c r="CS64" s="213"/>
      <c r="CT64" s="213"/>
      <c r="CU64" s="213"/>
      <c r="CV64" s="213"/>
      <c r="CW64" s="213"/>
      <c r="CX64" s="213"/>
      <c r="CY64" s="213"/>
      <c r="CZ64" s="214"/>
      <c r="DA64" s="214"/>
      <c r="DB64" s="214"/>
      <c r="DC64" s="214"/>
      <c r="DD64" s="214"/>
      <c r="DE64" s="214"/>
      <c r="DF64" s="214"/>
      <c r="DG64" s="214"/>
      <c r="DH64" s="214"/>
      <c r="DI64" s="214"/>
      <c r="DJ64" s="214"/>
      <c r="DK64" s="214"/>
      <c r="DL64" s="214"/>
      <c r="DM64" s="214"/>
    </row>
    <row r="65" spans="1:117" s="215" customFormat="1" ht="12.75" hidden="1">
      <c r="A65" s="413" t="s">
        <v>410</v>
      </c>
      <c r="B65" s="414" t="s">
        <v>399</v>
      </c>
      <c r="C65" s="272"/>
      <c r="D65" s="272"/>
      <c r="E65" s="272"/>
      <c r="F65" s="272"/>
      <c r="G65" s="391">
        <v>5.7</v>
      </c>
      <c r="H65" s="273"/>
      <c r="I65" s="289"/>
      <c r="J65" s="289"/>
      <c r="K65" s="289"/>
      <c r="L65" s="289"/>
      <c r="M65" s="289"/>
      <c r="N65" s="289"/>
      <c r="O65" s="289"/>
      <c r="P65" s="289"/>
      <c r="Q65" s="399">
        <f t="shared" si="23"/>
        <v>5.7</v>
      </c>
      <c r="R65" s="289"/>
      <c r="S65" s="289"/>
      <c r="T65" s="289"/>
      <c r="U65" s="289"/>
      <c r="V65" s="289"/>
      <c r="W65" s="289"/>
      <c r="X65" s="345"/>
      <c r="Y65" s="345"/>
      <c r="Z65" s="289"/>
      <c r="AA65" s="289"/>
      <c r="AB65" s="289"/>
      <c r="AC65" s="289"/>
      <c r="AD65" s="363"/>
      <c r="AE65" s="363"/>
      <c r="AF65" s="363">
        <v>5.13</v>
      </c>
      <c r="AG65" s="363"/>
      <c r="AH65" s="363">
        <v>0.5700000000000003</v>
      </c>
      <c r="AI65" s="363"/>
      <c r="AJ65" s="363"/>
      <c r="AK65" s="363"/>
      <c r="AL65" s="363"/>
      <c r="AM65" s="363"/>
      <c r="AN65" s="348">
        <f t="shared" si="21"/>
        <v>5.7</v>
      </c>
      <c r="AO65" s="348">
        <f t="shared" si="21"/>
        <v>0</v>
      </c>
      <c r="AP65" s="386">
        <f>AN65+AB65</f>
        <v>5.7</v>
      </c>
      <c r="AQ65" s="286">
        <f t="shared" si="19"/>
        <v>5.7</v>
      </c>
      <c r="AR65" s="27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c r="CP65" s="213"/>
      <c r="CQ65" s="213"/>
      <c r="CR65" s="213"/>
      <c r="CS65" s="213"/>
      <c r="CT65" s="213"/>
      <c r="CU65" s="213"/>
      <c r="CV65" s="213"/>
      <c r="CW65" s="213"/>
      <c r="CX65" s="213"/>
      <c r="CY65" s="213"/>
      <c r="CZ65" s="214"/>
      <c r="DA65" s="214"/>
      <c r="DB65" s="214"/>
      <c r="DC65" s="214"/>
      <c r="DD65" s="214"/>
      <c r="DE65" s="214"/>
      <c r="DF65" s="214"/>
      <c r="DG65" s="214"/>
      <c r="DH65" s="214"/>
      <c r="DI65" s="214"/>
      <c r="DJ65" s="214"/>
      <c r="DK65" s="214"/>
      <c r="DL65" s="214"/>
      <c r="DM65" s="214"/>
    </row>
    <row r="66" spans="1:117" s="215" customFormat="1" ht="12.75" hidden="1">
      <c r="A66" s="413" t="s">
        <v>410</v>
      </c>
      <c r="B66" s="414" t="s">
        <v>417</v>
      </c>
      <c r="C66" s="272"/>
      <c r="D66" s="272"/>
      <c r="E66" s="272"/>
      <c r="F66" s="272"/>
      <c r="G66" s="391">
        <v>96.668</v>
      </c>
      <c r="H66" s="273"/>
      <c r="I66" s="289"/>
      <c r="J66" s="289"/>
      <c r="K66" s="289"/>
      <c r="L66" s="289"/>
      <c r="M66" s="289"/>
      <c r="N66" s="289"/>
      <c r="O66" s="289"/>
      <c r="P66" s="289"/>
      <c r="Q66" s="399">
        <f t="shared" si="23"/>
        <v>96.668</v>
      </c>
      <c r="R66" s="289"/>
      <c r="S66" s="289"/>
      <c r="T66" s="289"/>
      <c r="U66" s="289"/>
      <c r="V66" s="289"/>
      <c r="W66" s="289"/>
      <c r="X66" s="345"/>
      <c r="Y66" s="345"/>
      <c r="Z66" s="289"/>
      <c r="AA66" s="289"/>
      <c r="AB66" s="289"/>
      <c r="AC66" s="289"/>
      <c r="AD66" s="363"/>
      <c r="AE66" s="363"/>
      <c r="AF66" s="363"/>
      <c r="AG66" s="363"/>
      <c r="AH66" s="363"/>
      <c r="AI66" s="363"/>
      <c r="AJ66" s="363"/>
      <c r="AK66" s="363"/>
      <c r="AL66" s="363"/>
      <c r="AM66" s="363"/>
      <c r="AN66" s="348">
        <f t="shared" si="21"/>
        <v>0</v>
      </c>
      <c r="AO66" s="348">
        <f t="shared" si="21"/>
        <v>0</v>
      </c>
      <c r="AP66" s="386">
        <f>AN66+AB66</f>
        <v>0</v>
      </c>
      <c r="AQ66" s="286">
        <f t="shared" si="19"/>
        <v>96.668</v>
      </c>
      <c r="AR66" s="27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c r="CP66" s="213"/>
      <c r="CQ66" s="213"/>
      <c r="CR66" s="213"/>
      <c r="CS66" s="213"/>
      <c r="CT66" s="213"/>
      <c r="CU66" s="213"/>
      <c r="CV66" s="213"/>
      <c r="CW66" s="213"/>
      <c r="CX66" s="213"/>
      <c r="CY66" s="213"/>
      <c r="CZ66" s="214"/>
      <c r="DA66" s="214"/>
      <c r="DB66" s="214"/>
      <c r="DC66" s="214"/>
      <c r="DD66" s="214"/>
      <c r="DE66" s="214"/>
      <c r="DF66" s="214"/>
      <c r="DG66" s="214"/>
      <c r="DH66" s="214"/>
      <c r="DI66" s="214"/>
      <c r="DJ66" s="214"/>
      <c r="DK66" s="214"/>
      <c r="DL66" s="214"/>
      <c r="DM66" s="214"/>
    </row>
    <row r="67" spans="1:117" s="215" customFormat="1" ht="68.25" customHeight="1">
      <c r="A67" s="273">
        <v>8</v>
      </c>
      <c r="B67" s="414" t="s">
        <v>434</v>
      </c>
      <c r="C67" s="272" t="s">
        <v>435</v>
      </c>
      <c r="D67" s="272"/>
      <c r="E67" s="272" t="s">
        <v>403</v>
      </c>
      <c r="F67" s="272" t="s">
        <v>436</v>
      </c>
      <c r="G67" s="417">
        <f>SUM(G68:G72)</f>
        <v>2399.9994739999997</v>
      </c>
      <c r="H67" s="290">
        <f aca="true" t="shared" si="25" ref="H67:AO67">SUM(H68:H72)</f>
        <v>0</v>
      </c>
      <c r="I67" s="290">
        <f t="shared" si="25"/>
        <v>0</v>
      </c>
      <c r="J67" s="290"/>
      <c r="K67" s="290"/>
      <c r="L67" s="290"/>
      <c r="M67" s="290"/>
      <c r="N67" s="290">
        <f t="shared" si="25"/>
        <v>0</v>
      </c>
      <c r="O67" s="290">
        <f t="shared" si="25"/>
        <v>0</v>
      </c>
      <c r="P67" s="290">
        <f t="shared" si="25"/>
        <v>0</v>
      </c>
      <c r="Q67" s="399">
        <f t="shared" si="23"/>
        <v>2399.9994739999997</v>
      </c>
      <c r="R67" s="290">
        <f t="shared" si="25"/>
        <v>0</v>
      </c>
      <c r="S67" s="290">
        <f t="shared" si="25"/>
        <v>0</v>
      </c>
      <c r="T67" s="290">
        <f t="shared" si="25"/>
        <v>0</v>
      </c>
      <c r="U67" s="290">
        <f t="shared" si="25"/>
        <v>0</v>
      </c>
      <c r="V67" s="290">
        <f t="shared" si="25"/>
        <v>0</v>
      </c>
      <c r="W67" s="290">
        <f t="shared" si="25"/>
        <v>0</v>
      </c>
      <c r="X67" s="290">
        <f t="shared" si="25"/>
        <v>0</v>
      </c>
      <c r="Y67" s="290">
        <f t="shared" si="25"/>
        <v>0</v>
      </c>
      <c r="Z67" s="290">
        <f t="shared" si="25"/>
        <v>0</v>
      </c>
      <c r="AA67" s="290">
        <f t="shared" si="25"/>
        <v>0</v>
      </c>
      <c r="AB67" s="290">
        <f t="shared" si="25"/>
        <v>77.21092999999999</v>
      </c>
      <c r="AC67" s="290">
        <f t="shared" si="25"/>
        <v>0</v>
      </c>
      <c r="AD67" s="290">
        <f t="shared" si="25"/>
        <v>0</v>
      </c>
      <c r="AE67" s="290">
        <f t="shared" si="25"/>
        <v>0</v>
      </c>
      <c r="AF67" s="290">
        <f t="shared" si="25"/>
        <v>1391.7652923</v>
      </c>
      <c r="AG67" s="290">
        <f t="shared" si="25"/>
        <v>0</v>
      </c>
      <c r="AH67" s="290">
        <f t="shared" si="25"/>
        <v>646.7316477</v>
      </c>
      <c r="AI67" s="290">
        <f t="shared" si="25"/>
        <v>0</v>
      </c>
      <c r="AJ67" s="290">
        <f t="shared" si="25"/>
        <v>0</v>
      </c>
      <c r="AK67" s="290">
        <f t="shared" si="25"/>
        <v>0</v>
      </c>
      <c r="AL67" s="290">
        <f t="shared" si="25"/>
        <v>0</v>
      </c>
      <c r="AM67" s="290">
        <f t="shared" si="25"/>
        <v>0</v>
      </c>
      <c r="AN67" s="416">
        <f t="shared" si="25"/>
        <v>2038.4969400000002</v>
      </c>
      <c r="AO67" s="290">
        <f t="shared" si="25"/>
        <v>0</v>
      </c>
      <c r="AP67" s="416">
        <f>SUM(AP68:AP72)</f>
        <v>2115.70787</v>
      </c>
      <c r="AQ67" s="286">
        <f t="shared" si="19"/>
        <v>2399.9994739999997</v>
      </c>
      <c r="AR67" s="395" t="s">
        <v>521</v>
      </c>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c r="CP67" s="213"/>
      <c r="CQ67" s="213"/>
      <c r="CR67" s="213"/>
      <c r="CS67" s="213"/>
      <c r="CT67" s="213"/>
      <c r="CU67" s="213"/>
      <c r="CV67" s="213"/>
      <c r="CW67" s="213"/>
      <c r="CX67" s="213"/>
      <c r="CY67" s="213"/>
      <c r="CZ67" s="214"/>
      <c r="DA67" s="214"/>
      <c r="DB67" s="214"/>
      <c r="DC67" s="214"/>
      <c r="DD67" s="214"/>
      <c r="DE67" s="214"/>
      <c r="DF67" s="214"/>
      <c r="DG67" s="214"/>
      <c r="DH67" s="214"/>
      <c r="DI67" s="214"/>
      <c r="DJ67" s="214"/>
      <c r="DK67" s="214"/>
      <c r="DL67" s="214"/>
      <c r="DM67" s="214"/>
    </row>
    <row r="68" spans="1:117" s="215" customFormat="1" ht="12.75" hidden="1">
      <c r="A68" s="413" t="s">
        <v>410</v>
      </c>
      <c r="B68" s="414" t="s">
        <v>423</v>
      </c>
      <c r="C68" s="272"/>
      <c r="D68" s="272"/>
      <c r="E68" s="272"/>
      <c r="F68" s="272"/>
      <c r="G68" s="416">
        <v>1927.382</v>
      </c>
      <c r="H68" s="273"/>
      <c r="I68" s="289"/>
      <c r="J68" s="289"/>
      <c r="K68" s="289"/>
      <c r="L68" s="289"/>
      <c r="M68" s="289"/>
      <c r="N68" s="289"/>
      <c r="O68" s="289"/>
      <c r="P68" s="289"/>
      <c r="Q68" s="399">
        <f t="shared" si="23"/>
        <v>1927.382</v>
      </c>
      <c r="R68" s="289"/>
      <c r="S68" s="289"/>
      <c r="T68" s="289"/>
      <c r="U68" s="289"/>
      <c r="V68" s="289"/>
      <c r="W68" s="289"/>
      <c r="X68" s="345"/>
      <c r="Y68" s="345"/>
      <c r="Z68" s="289"/>
      <c r="AA68" s="289"/>
      <c r="AB68" s="289"/>
      <c r="AC68" s="289"/>
      <c r="AD68" s="363"/>
      <c r="AE68" s="363"/>
      <c r="AF68" s="363">
        <v>1252.7983000000002</v>
      </c>
      <c r="AG68" s="363"/>
      <c r="AH68" s="363">
        <f>674.5837-0.38</f>
        <v>674.2037</v>
      </c>
      <c r="AI68" s="363"/>
      <c r="AJ68" s="363"/>
      <c r="AK68" s="363"/>
      <c r="AL68" s="363"/>
      <c r="AM68" s="363"/>
      <c r="AN68" s="386">
        <f t="shared" si="21"/>
        <v>1927.0020000000002</v>
      </c>
      <c r="AO68" s="348">
        <f t="shared" si="21"/>
        <v>0</v>
      </c>
      <c r="AP68" s="386">
        <f>AN68+AB68</f>
        <v>1927.0020000000002</v>
      </c>
      <c r="AQ68" s="286">
        <f t="shared" si="19"/>
        <v>1927.382</v>
      </c>
      <c r="AR68" s="273"/>
      <c r="AS68" s="237"/>
      <c r="AT68" s="213"/>
      <c r="AU68" s="213"/>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c r="CP68" s="213"/>
      <c r="CQ68" s="213"/>
      <c r="CR68" s="213"/>
      <c r="CS68" s="213"/>
      <c r="CT68" s="213"/>
      <c r="CU68" s="213"/>
      <c r="CV68" s="213"/>
      <c r="CW68" s="213"/>
      <c r="CX68" s="213"/>
      <c r="CY68" s="213"/>
      <c r="CZ68" s="214"/>
      <c r="DA68" s="214"/>
      <c r="DB68" s="214"/>
      <c r="DC68" s="214"/>
      <c r="DD68" s="214"/>
      <c r="DE68" s="214"/>
      <c r="DF68" s="214"/>
      <c r="DG68" s="214"/>
      <c r="DH68" s="214"/>
      <c r="DI68" s="214"/>
      <c r="DJ68" s="214"/>
      <c r="DK68" s="214"/>
      <c r="DL68" s="214"/>
      <c r="DM68" s="214"/>
    </row>
    <row r="69" spans="1:117" s="215" customFormat="1" ht="12.75" hidden="1">
      <c r="A69" s="413" t="s">
        <v>410</v>
      </c>
      <c r="B69" s="414" t="s">
        <v>408</v>
      </c>
      <c r="C69" s="272"/>
      <c r="D69" s="272"/>
      <c r="E69" s="272"/>
      <c r="F69" s="272"/>
      <c r="G69" s="420">
        <v>44.224661</v>
      </c>
      <c r="H69" s="273"/>
      <c r="I69" s="289"/>
      <c r="J69" s="289"/>
      <c r="K69" s="289"/>
      <c r="L69" s="289"/>
      <c r="M69" s="289"/>
      <c r="N69" s="289"/>
      <c r="O69" s="289"/>
      <c r="P69" s="289"/>
      <c r="Q69" s="399">
        <f t="shared" si="23"/>
        <v>44.224661</v>
      </c>
      <c r="R69" s="289"/>
      <c r="S69" s="289"/>
      <c r="T69" s="289"/>
      <c r="U69" s="289"/>
      <c r="V69" s="289"/>
      <c r="W69" s="289"/>
      <c r="X69" s="345"/>
      <c r="Y69" s="345"/>
      <c r="Z69" s="289"/>
      <c r="AA69" s="289"/>
      <c r="AB69" s="289"/>
      <c r="AC69" s="289"/>
      <c r="AD69" s="363"/>
      <c r="AE69" s="363"/>
      <c r="AF69" s="363">
        <v>31.62063255</v>
      </c>
      <c r="AG69" s="363"/>
      <c r="AH69" s="363">
        <f>17.02649445-4.42</f>
        <v>12.606494450000001</v>
      </c>
      <c r="AI69" s="363"/>
      <c r="AJ69" s="363"/>
      <c r="AK69" s="363"/>
      <c r="AL69" s="363"/>
      <c r="AM69" s="363"/>
      <c r="AN69" s="386">
        <f t="shared" si="21"/>
        <v>44.227127</v>
      </c>
      <c r="AO69" s="348">
        <f t="shared" si="21"/>
        <v>0</v>
      </c>
      <c r="AP69" s="386">
        <f>AN69+AB69</f>
        <v>44.227127</v>
      </c>
      <c r="AQ69" s="286">
        <f t="shared" si="19"/>
        <v>44.224661</v>
      </c>
      <c r="AR69" s="27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c r="CO69" s="213"/>
      <c r="CP69" s="213"/>
      <c r="CQ69" s="213"/>
      <c r="CR69" s="213"/>
      <c r="CS69" s="213"/>
      <c r="CT69" s="213"/>
      <c r="CU69" s="213"/>
      <c r="CV69" s="213"/>
      <c r="CW69" s="213"/>
      <c r="CX69" s="213"/>
      <c r="CY69" s="213"/>
      <c r="CZ69" s="214"/>
      <c r="DA69" s="214"/>
      <c r="DB69" s="214"/>
      <c r="DC69" s="214"/>
      <c r="DD69" s="214"/>
      <c r="DE69" s="214"/>
      <c r="DF69" s="214"/>
      <c r="DG69" s="214"/>
      <c r="DH69" s="214"/>
      <c r="DI69" s="214"/>
      <c r="DJ69" s="214"/>
      <c r="DK69" s="214"/>
      <c r="DL69" s="214"/>
      <c r="DM69" s="214"/>
    </row>
    <row r="70" spans="1:117" s="215" customFormat="1" ht="12.75" hidden="1">
      <c r="A70" s="413" t="s">
        <v>410</v>
      </c>
      <c r="B70" s="414" t="s">
        <v>430</v>
      </c>
      <c r="C70" s="272"/>
      <c r="D70" s="272"/>
      <c r="E70" s="272"/>
      <c r="F70" s="272"/>
      <c r="G70" s="346">
        <v>134.357813</v>
      </c>
      <c r="H70" s="273"/>
      <c r="I70" s="289"/>
      <c r="J70" s="289"/>
      <c r="K70" s="289"/>
      <c r="L70" s="289"/>
      <c r="M70" s="289"/>
      <c r="N70" s="289"/>
      <c r="O70" s="289"/>
      <c r="P70" s="289"/>
      <c r="Q70" s="399">
        <f t="shared" si="23"/>
        <v>134.357813</v>
      </c>
      <c r="R70" s="289"/>
      <c r="S70" s="289"/>
      <c r="T70" s="289"/>
      <c r="U70" s="289"/>
      <c r="V70" s="289"/>
      <c r="W70" s="289"/>
      <c r="X70" s="345"/>
      <c r="Y70" s="345"/>
      <c r="Z70" s="289"/>
      <c r="AA70" s="289"/>
      <c r="AB70" s="391">
        <f>69.385759+7.825171</f>
        <v>77.21092999999999</v>
      </c>
      <c r="AC70" s="289"/>
      <c r="AD70" s="363"/>
      <c r="AE70" s="363"/>
      <c r="AF70" s="363">
        <v>100.76835975</v>
      </c>
      <c r="AG70" s="363"/>
      <c r="AH70" s="363">
        <f>33.58945325-77.21</f>
        <v>-43.620546749999995</v>
      </c>
      <c r="AI70" s="363"/>
      <c r="AJ70" s="363"/>
      <c r="AK70" s="363"/>
      <c r="AL70" s="363"/>
      <c r="AM70" s="363"/>
      <c r="AN70" s="386">
        <f t="shared" si="21"/>
        <v>57.147813000000006</v>
      </c>
      <c r="AO70" s="348">
        <f t="shared" si="21"/>
        <v>0</v>
      </c>
      <c r="AP70" s="386">
        <f>AN70+AB70</f>
        <v>134.358743</v>
      </c>
      <c r="AQ70" s="286">
        <f t="shared" si="19"/>
        <v>134.357813</v>
      </c>
      <c r="AR70" s="273"/>
      <c r="AS70" s="237"/>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c r="CO70" s="213"/>
      <c r="CP70" s="213"/>
      <c r="CQ70" s="213"/>
      <c r="CR70" s="213"/>
      <c r="CS70" s="213"/>
      <c r="CT70" s="213"/>
      <c r="CU70" s="213"/>
      <c r="CV70" s="213"/>
      <c r="CW70" s="213"/>
      <c r="CX70" s="213"/>
      <c r="CY70" s="213"/>
      <c r="CZ70" s="214"/>
      <c r="DA70" s="214"/>
      <c r="DB70" s="214"/>
      <c r="DC70" s="214"/>
      <c r="DD70" s="214"/>
      <c r="DE70" s="214"/>
      <c r="DF70" s="214"/>
      <c r="DG70" s="214"/>
      <c r="DH70" s="214"/>
      <c r="DI70" s="214"/>
      <c r="DJ70" s="214"/>
      <c r="DK70" s="214"/>
      <c r="DL70" s="214"/>
      <c r="DM70" s="214"/>
    </row>
    <row r="71" spans="1:117" s="215" customFormat="1" ht="12.75" hidden="1">
      <c r="A71" s="413" t="s">
        <v>410</v>
      </c>
      <c r="B71" s="414" t="s">
        <v>399</v>
      </c>
      <c r="C71" s="272"/>
      <c r="D71" s="272"/>
      <c r="E71" s="272"/>
      <c r="F71" s="272"/>
      <c r="G71" s="416">
        <v>10.12</v>
      </c>
      <c r="H71" s="273"/>
      <c r="I71" s="289"/>
      <c r="J71" s="289"/>
      <c r="K71" s="289"/>
      <c r="L71" s="289"/>
      <c r="M71" s="289"/>
      <c r="N71" s="289"/>
      <c r="O71" s="289"/>
      <c r="P71" s="289"/>
      <c r="Q71" s="399">
        <f t="shared" si="23"/>
        <v>10.12</v>
      </c>
      <c r="R71" s="289"/>
      <c r="S71" s="289"/>
      <c r="T71" s="289"/>
      <c r="U71" s="289"/>
      <c r="V71" s="289"/>
      <c r="W71" s="289"/>
      <c r="X71" s="345"/>
      <c r="Y71" s="345"/>
      <c r="Z71" s="289"/>
      <c r="AA71" s="289"/>
      <c r="AB71" s="289"/>
      <c r="AC71" s="289"/>
      <c r="AD71" s="363"/>
      <c r="AE71" s="363"/>
      <c r="AF71" s="363">
        <v>6.577999999999999</v>
      </c>
      <c r="AG71" s="363"/>
      <c r="AH71" s="363">
        <v>3.542</v>
      </c>
      <c r="AI71" s="363"/>
      <c r="AJ71" s="363"/>
      <c r="AK71" s="363"/>
      <c r="AL71" s="363"/>
      <c r="AM71" s="363"/>
      <c r="AN71" s="386">
        <f t="shared" si="21"/>
        <v>10.12</v>
      </c>
      <c r="AO71" s="348">
        <f t="shared" si="21"/>
        <v>0</v>
      </c>
      <c r="AP71" s="386">
        <f>AN71+AB71</f>
        <v>10.12</v>
      </c>
      <c r="AQ71" s="286">
        <f t="shared" si="19"/>
        <v>10.12</v>
      </c>
      <c r="AR71" s="27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c r="CT71" s="213"/>
      <c r="CU71" s="213"/>
      <c r="CV71" s="213"/>
      <c r="CW71" s="213"/>
      <c r="CX71" s="213"/>
      <c r="CY71" s="213"/>
      <c r="CZ71" s="214"/>
      <c r="DA71" s="214"/>
      <c r="DB71" s="214"/>
      <c r="DC71" s="214"/>
      <c r="DD71" s="214"/>
      <c r="DE71" s="214"/>
      <c r="DF71" s="214"/>
      <c r="DG71" s="214"/>
      <c r="DH71" s="214"/>
      <c r="DI71" s="214"/>
      <c r="DJ71" s="214"/>
      <c r="DK71" s="214"/>
      <c r="DL71" s="214"/>
      <c r="DM71" s="214"/>
    </row>
    <row r="72" spans="1:117" s="215" customFormat="1" ht="12.75" hidden="1">
      <c r="A72" s="413" t="s">
        <v>410</v>
      </c>
      <c r="B72" s="414" t="s">
        <v>417</v>
      </c>
      <c r="C72" s="272"/>
      <c r="D72" s="272"/>
      <c r="E72" s="272"/>
      <c r="F72" s="272"/>
      <c r="G72" s="416">
        <v>283.915</v>
      </c>
      <c r="H72" s="273"/>
      <c r="I72" s="289"/>
      <c r="J72" s="289"/>
      <c r="K72" s="289"/>
      <c r="L72" s="289"/>
      <c r="M72" s="289"/>
      <c r="N72" s="289"/>
      <c r="O72" s="289"/>
      <c r="P72" s="289"/>
      <c r="Q72" s="399">
        <f t="shared" si="23"/>
        <v>283.915</v>
      </c>
      <c r="R72" s="289"/>
      <c r="S72" s="289"/>
      <c r="T72" s="289"/>
      <c r="U72" s="289"/>
      <c r="V72" s="289"/>
      <c r="W72" s="289"/>
      <c r="X72" s="345"/>
      <c r="Y72" s="345"/>
      <c r="Z72" s="289"/>
      <c r="AA72" s="289"/>
      <c r="AB72" s="289"/>
      <c r="AC72" s="289"/>
      <c r="AD72" s="363"/>
      <c r="AE72" s="363"/>
      <c r="AF72" s="363"/>
      <c r="AG72" s="363"/>
      <c r="AH72" s="363"/>
      <c r="AI72" s="363"/>
      <c r="AJ72" s="363"/>
      <c r="AK72" s="363"/>
      <c r="AL72" s="363"/>
      <c r="AM72" s="363"/>
      <c r="AN72" s="386">
        <f t="shared" si="21"/>
        <v>0</v>
      </c>
      <c r="AO72" s="348">
        <f t="shared" si="21"/>
        <v>0</v>
      </c>
      <c r="AP72" s="386">
        <f>AN72+AB72</f>
        <v>0</v>
      </c>
      <c r="AQ72" s="286">
        <f t="shared" si="19"/>
        <v>283.915</v>
      </c>
      <c r="AR72" s="27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c r="CO72" s="213"/>
      <c r="CP72" s="213"/>
      <c r="CQ72" s="213"/>
      <c r="CR72" s="213"/>
      <c r="CS72" s="213"/>
      <c r="CT72" s="213"/>
      <c r="CU72" s="213"/>
      <c r="CV72" s="213"/>
      <c r="CW72" s="213"/>
      <c r="CX72" s="213"/>
      <c r="CY72" s="213"/>
      <c r="CZ72" s="214"/>
      <c r="DA72" s="214"/>
      <c r="DB72" s="214"/>
      <c r="DC72" s="214"/>
      <c r="DD72" s="214"/>
      <c r="DE72" s="214"/>
      <c r="DF72" s="214"/>
      <c r="DG72" s="214"/>
      <c r="DH72" s="214"/>
      <c r="DI72" s="214"/>
      <c r="DJ72" s="214"/>
      <c r="DK72" s="214"/>
      <c r="DL72" s="214"/>
      <c r="DM72" s="214"/>
    </row>
    <row r="73" spans="1:117" s="215" customFormat="1" ht="52.5" customHeight="1">
      <c r="A73" s="273">
        <v>9</v>
      </c>
      <c r="B73" s="414" t="s">
        <v>437</v>
      </c>
      <c r="C73" s="272" t="s">
        <v>438</v>
      </c>
      <c r="D73" s="272"/>
      <c r="E73" s="272" t="s">
        <v>403</v>
      </c>
      <c r="F73" s="272" t="s">
        <v>439</v>
      </c>
      <c r="G73" s="417">
        <f>SUM(G74:G79)</f>
        <v>1799.936</v>
      </c>
      <c r="H73" s="290">
        <f>SUM(H74:H79)</f>
        <v>0</v>
      </c>
      <c r="I73" s="290">
        <f>SUM(I74:I79)</f>
        <v>0</v>
      </c>
      <c r="J73" s="290"/>
      <c r="K73" s="290"/>
      <c r="L73" s="290"/>
      <c r="M73" s="290"/>
      <c r="N73" s="290">
        <f aca="true" t="shared" si="26" ref="N73:AO73">SUM(N74:N79)</f>
        <v>0</v>
      </c>
      <c r="O73" s="290">
        <f t="shared" si="26"/>
        <v>0</v>
      </c>
      <c r="P73" s="290">
        <f t="shared" si="26"/>
        <v>0</v>
      </c>
      <c r="Q73" s="399">
        <f t="shared" si="23"/>
        <v>1799.936</v>
      </c>
      <c r="R73" s="290">
        <f t="shared" si="26"/>
        <v>0</v>
      </c>
      <c r="S73" s="290">
        <f t="shared" si="26"/>
        <v>0</v>
      </c>
      <c r="T73" s="290">
        <f t="shared" si="26"/>
        <v>0</v>
      </c>
      <c r="U73" s="290">
        <f t="shared" si="26"/>
        <v>0</v>
      </c>
      <c r="V73" s="290">
        <f t="shared" si="26"/>
        <v>0</v>
      </c>
      <c r="W73" s="290">
        <f t="shared" si="26"/>
        <v>0</v>
      </c>
      <c r="X73" s="290">
        <f t="shared" si="26"/>
        <v>0</v>
      </c>
      <c r="Y73" s="290">
        <f t="shared" si="26"/>
        <v>0</v>
      </c>
      <c r="Z73" s="290">
        <f t="shared" si="26"/>
        <v>0</v>
      </c>
      <c r="AA73" s="290">
        <f t="shared" si="26"/>
        <v>0</v>
      </c>
      <c r="AB73" s="290">
        <f t="shared" si="26"/>
        <v>95.365831</v>
      </c>
      <c r="AC73" s="290">
        <f t="shared" si="26"/>
        <v>0</v>
      </c>
      <c r="AD73" s="290">
        <f t="shared" si="26"/>
        <v>0</v>
      </c>
      <c r="AE73" s="290">
        <f t="shared" si="26"/>
        <v>0</v>
      </c>
      <c r="AF73" s="290">
        <f t="shared" si="26"/>
        <v>1144.6434598</v>
      </c>
      <c r="AG73" s="290">
        <f t="shared" si="26"/>
        <v>0</v>
      </c>
      <c r="AH73" s="290">
        <f t="shared" si="26"/>
        <v>559.0378739500001</v>
      </c>
      <c r="AI73" s="290"/>
      <c r="AJ73" s="290">
        <f t="shared" si="26"/>
        <v>0</v>
      </c>
      <c r="AK73" s="290">
        <f t="shared" si="26"/>
        <v>0</v>
      </c>
      <c r="AL73" s="290">
        <f t="shared" si="26"/>
        <v>0</v>
      </c>
      <c r="AM73" s="290">
        <f t="shared" si="26"/>
        <v>0</v>
      </c>
      <c r="AN73" s="290">
        <f t="shared" si="26"/>
        <v>1703.68133375</v>
      </c>
      <c r="AO73" s="290">
        <f t="shared" si="26"/>
        <v>0</v>
      </c>
      <c r="AP73" s="417">
        <f>SUM(AP74:AP79)</f>
        <v>1799.0471647499999</v>
      </c>
      <c r="AQ73" s="286">
        <f t="shared" si="19"/>
        <v>1799.936</v>
      </c>
      <c r="AR73" s="395" t="s">
        <v>521</v>
      </c>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c r="CO73" s="213"/>
      <c r="CP73" s="213"/>
      <c r="CQ73" s="213"/>
      <c r="CR73" s="213"/>
      <c r="CS73" s="213"/>
      <c r="CT73" s="213"/>
      <c r="CU73" s="213"/>
      <c r="CV73" s="213"/>
      <c r="CW73" s="213"/>
      <c r="CX73" s="213"/>
      <c r="CY73" s="213"/>
      <c r="CZ73" s="214"/>
      <c r="DA73" s="214"/>
      <c r="DB73" s="214"/>
      <c r="DC73" s="214"/>
      <c r="DD73" s="214"/>
      <c r="DE73" s="214"/>
      <c r="DF73" s="214"/>
      <c r="DG73" s="214"/>
      <c r="DH73" s="214"/>
      <c r="DI73" s="214"/>
      <c r="DJ73" s="214"/>
      <c r="DK73" s="214"/>
      <c r="DL73" s="214"/>
      <c r="DM73" s="214"/>
    </row>
    <row r="74" spans="1:117" s="215" customFormat="1" ht="12.75" hidden="1">
      <c r="A74" s="413" t="s">
        <v>410</v>
      </c>
      <c r="B74" s="414" t="s">
        <v>440</v>
      </c>
      <c r="C74" s="272"/>
      <c r="D74" s="272"/>
      <c r="E74" s="272"/>
      <c r="F74" s="272"/>
      <c r="G74" s="391">
        <v>1613</v>
      </c>
      <c r="H74" s="273"/>
      <c r="I74" s="289"/>
      <c r="J74" s="289"/>
      <c r="K74" s="289"/>
      <c r="L74" s="289"/>
      <c r="M74" s="289"/>
      <c r="N74" s="289"/>
      <c r="O74" s="289"/>
      <c r="P74" s="289"/>
      <c r="Q74" s="399">
        <f t="shared" si="23"/>
        <v>1613</v>
      </c>
      <c r="R74" s="289"/>
      <c r="S74" s="289"/>
      <c r="T74" s="289"/>
      <c r="U74" s="289"/>
      <c r="V74" s="289"/>
      <c r="W74" s="289"/>
      <c r="X74" s="345"/>
      <c r="Y74" s="345"/>
      <c r="Z74" s="289"/>
      <c r="AA74" s="289"/>
      <c r="AB74" s="289"/>
      <c r="AC74" s="289"/>
      <c r="AD74" s="363"/>
      <c r="AE74" s="363"/>
      <c r="AF74" s="363">
        <v>1020.11229515</v>
      </c>
      <c r="AG74" s="363"/>
      <c r="AH74" s="363">
        <f>549.29123585+44-0.4</f>
        <v>592.89123585</v>
      </c>
      <c r="AI74" s="363"/>
      <c r="AJ74" s="363"/>
      <c r="AK74" s="363"/>
      <c r="AL74" s="363"/>
      <c r="AM74" s="363"/>
      <c r="AN74" s="349">
        <f t="shared" si="21"/>
        <v>1613.003531</v>
      </c>
      <c r="AO74" s="348">
        <f t="shared" si="21"/>
        <v>0</v>
      </c>
      <c r="AP74" s="349">
        <f>AN74+AB74</f>
        <v>1613.003531</v>
      </c>
      <c r="AQ74" s="286">
        <f t="shared" si="19"/>
        <v>1613</v>
      </c>
      <c r="AR74" s="27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c r="CO74" s="213"/>
      <c r="CP74" s="213"/>
      <c r="CQ74" s="213"/>
      <c r="CR74" s="213"/>
      <c r="CS74" s="213"/>
      <c r="CT74" s="213"/>
      <c r="CU74" s="213"/>
      <c r="CV74" s="213"/>
      <c r="CW74" s="213"/>
      <c r="CX74" s="213"/>
      <c r="CY74" s="213"/>
      <c r="CZ74" s="214"/>
      <c r="DA74" s="214"/>
      <c r="DB74" s="214"/>
      <c r="DC74" s="214"/>
      <c r="DD74" s="214"/>
      <c r="DE74" s="214"/>
      <c r="DF74" s="214"/>
      <c r="DG74" s="214"/>
      <c r="DH74" s="214"/>
      <c r="DI74" s="214"/>
      <c r="DJ74" s="214"/>
      <c r="DK74" s="214"/>
      <c r="DL74" s="214"/>
      <c r="DM74" s="214"/>
    </row>
    <row r="75" spans="1:117" s="215" customFormat="1" ht="12.75" hidden="1">
      <c r="A75" s="413"/>
      <c r="B75" s="414"/>
      <c r="C75" s="272"/>
      <c r="D75" s="272"/>
      <c r="E75" s="272"/>
      <c r="F75" s="272"/>
      <c r="G75" s="391"/>
      <c r="H75" s="273"/>
      <c r="I75" s="289"/>
      <c r="J75" s="289"/>
      <c r="K75" s="289"/>
      <c r="L75" s="289"/>
      <c r="M75" s="289"/>
      <c r="N75" s="289"/>
      <c r="O75" s="289"/>
      <c r="P75" s="289"/>
      <c r="Q75" s="399">
        <f t="shared" si="23"/>
        <v>0</v>
      </c>
      <c r="R75" s="289"/>
      <c r="S75" s="289"/>
      <c r="T75" s="289"/>
      <c r="U75" s="289"/>
      <c r="V75" s="289"/>
      <c r="W75" s="289"/>
      <c r="X75" s="345"/>
      <c r="Y75" s="345"/>
      <c r="Z75" s="289"/>
      <c r="AA75" s="289"/>
      <c r="AB75" s="289"/>
      <c r="AC75" s="289"/>
      <c r="AD75" s="363"/>
      <c r="AE75" s="363"/>
      <c r="AF75" s="363"/>
      <c r="AG75" s="363"/>
      <c r="AH75" s="363"/>
      <c r="AI75" s="363"/>
      <c r="AJ75" s="363"/>
      <c r="AK75" s="363"/>
      <c r="AL75" s="363"/>
      <c r="AM75" s="363"/>
      <c r="AN75" s="348"/>
      <c r="AO75" s="348"/>
      <c r="AP75" s="349"/>
      <c r="AQ75" s="286">
        <f t="shared" si="19"/>
        <v>0</v>
      </c>
      <c r="AR75" s="27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c r="CO75" s="213"/>
      <c r="CP75" s="213"/>
      <c r="CQ75" s="213"/>
      <c r="CR75" s="213"/>
      <c r="CS75" s="213"/>
      <c r="CT75" s="213"/>
      <c r="CU75" s="213"/>
      <c r="CV75" s="213"/>
      <c r="CW75" s="213"/>
      <c r="CX75" s="213"/>
      <c r="CY75" s="213"/>
      <c r="CZ75" s="214"/>
      <c r="DA75" s="214"/>
      <c r="DB75" s="214"/>
      <c r="DC75" s="214"/>
      <c r="DD75" s="214"/>
      <c r="DE75" s="214"/>
      <c r="DF75" s="214"/>
      <c r="DG75" s="214"/>
      <c r="DH75" s="214"/>
      <c r="DI75" s="214"/>
      <c r="DJ75" s="214"/>
      <c r="DK75" s="214"/>
      <c r="DL75" s="214"/>
      <c r="DM75" s="214"/>
    </row>
    <row r="76" spans="1:117" s="215" customFormat="1" ht="12.75" hidden="1">
      <c r="A76" s="413" t="s">
        <v>410</v>
      </c>
      <c r="B76" s="414" t="s">
        <v>408</v>
      </c>
      <c r="C76" s="272"/>
      <c r="D76" s="272"/>
      <c r="E76" s="272"/>
      <c r="F76" s="272"/>
      <c r="G76" s="391">
        <v>36.002</v>
      </c>
      <c r="H76" s="273"/>
      <c r="I76" s="289"/>
      <c r="J76" s="289"/>
      <c r="K76" s="289"/>
      <c r="L76" s="289"/>
      <c r="M76" s="289"/>
      <c r="N76" s="289"/>
      <c r="O76" s="289"/>
      <c r="P76" s="289"/>
      <c r="Q76" s="399">
        <f t="shared" si="23"/>
        <v>36.002</v>
      </c>
      <c r="R76" s="289"/>
      <c r="S76" s="289"/>
      <c r="T76" s="289"/>
      <c r="U76" s="289"/>
      <c r="V76" s="289"/>
      <c r="W76" s="289"/>
      <c r="X76" s="345"/>
      <c r="Y76" s="345"/>
      <c r="Z76" s="289"/>
      <c r="AA76" s="289"/>
      <c r="AB76" s="289"/>
      <c r="AC76" s="289"/>
      <c r="AD76" s="363"/>
      <c r="AE76" s="363"/>
      <c r="AF76" s="363">
        <v>27.00800775</v>
      </c>
      <c r="AG76" s="363"/>
      <c r="AH76" s="363">
        <f>9</f>
        <v>9</v>
      </c>
      <c r="AI76" s="363"/>
      <c r="AJ76" s="363"/>
      <c r="AK76" s="363"/>
      <c r="AL76" s="363"/>
      <c r="AM76" s="363"/>
      <c r="AN76" s="348">
        <f t="shared" si="21"/>
        <v>36.008007750000004</v>
      </c>
      <c r="AO76" s="348">
        <f t="shared" si="21"/>
        <v>0</v>
      </c>
      <c r="AP76" s="349">
        <f>AN76+AB76</f>
        <v>36.008007750000004</v>
      </c>
      <c r="AQ76" s="286">
        <f t="shared" si="19"/>
        <v>36.002</v>
      </c>
      <c r="AR76" s="27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c r="CP76" s="213"/>
      <c r="CQ76" s="213"/>
      <c r="CR76" s="213"/>
      <c r="CS76" s="213"/>
      <c r="CT76" s="213"/>
      <c r="CU76" s="213"/>
      <c r="CV76" s="213"/>
      <c r="CW76" s="213"/>
      <c r="CX76" s="213"/>
      <c r="CY76" s="213"/>
      <c r="CZ76" s="214"/>
      <c r="DA76" s="214"/>
      <c r="DB76" s="214"/>
      <c r="DC76" s="214"/>
      <c r="DD76" s="214"/>
      <c r="DE76" s="214"/>
      <c r="DF76" s="214"/>
      <c r="DG76" s="214"/>
      <c r="DH76" s="214"/>
      <c r="DI76" s="214"/>
      <c r="DJ76" s="214"/>
      <c r="DK76" s="214"/>
      <c r="DL76" s="214"/>
      <c r="DM76" s="214"/>
    </row>
    <row r="77" spans="1:117" s="215" customFormat="1" ht="12.75" hidden="1">
      <c r="A77" s="413" t="s">
        <v>410</v>
      </c>
      <c r="B77" s="414" t="s">
        <v>430</v>
      </c>
      <c r="C77" s="272"/>
      <c r="D77" s="272"/>
      <c r="E77" s="272"/>
      <c r="F77" s="272"/>
      <c r="G77" s="391">
        <v>142.169</v>
      </c>
      <c r="H77" s="273"/>
      <c r="I77" s="289"/>
      <c r="J77" s="289"/>
      <c r="K77" s="289"/>
      <c r="L77" s="289"/>
      <c r="M77" s="289"/>
      <c r="N77" s="289"/>
      <c r="O77" s="289"/>
      <c r="P77" s="289"/>
      <c r="Q77" s="399">
        <f t="shared" si="23"/>
        <v>142.169</v>
      </c>
      <c r="R77" s="289"/>
      <c r="S77" s="289"/>
      <c r="T77" s="289"/>
      <c r="U77" s="289"/>
      <c r="V77" s="289"/>
      <c r="W77" s="289"/>
      <c r="X77" s="345"/>
      <c r="Y77" s="345"/>
      <c r="Z77" s="289"/>
      <c r="AA77" s="289"/>
      <c r="AB77" s="391">
        <f>88.994032+6.371799</f>
        <v>95.365831</v>
      </c>
      <c r="AC77" s="289"/>
      <c r="AD77" s="363"/>
      <c r="AE77" s="363"/>
      <c r="AF77" s="363">
        <f>187.7929879-AB77</f>
        <v>92.42715690000001</v>
      </c>
      <c r="AG77" s="363"/>
      <c r="AH77" s="363">
        <v>-45.59736190000001</v>
      </c>
      <c r="AI77" s="363"/>
      <c r="AJ77" s="363"/>
      <c r="AK77" s="363"/>
      <c r="AL77" s="363"/>
      <c r="AM77" s="363"/>
      <c r="AN77" s="348">
        <f t="shared" si="21"/>
        <v>46.829795000000004</v>
      </c>
      <c r="AO77" s="348">
        <f t="shared" si="21"/>
        <v>0</v>
      </c>
      <c r="AP77" s="386">
        <f>AN77+AB77</f>
        <v>142.195626</v>
      </c>
      <c r="AQ77" s="286">
        <f t="shared" si="19"/>
        <v>142.169</v>
      </c>
      <c r="AR77" s="27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c r="CP77" s="213"/>
      <c r="CQ77" s="213"/>
      <c r="CR77" s="213"/>
      <c r="CS77" s="213"/>
      <c r="CT77" s="213"/>
      <c r="CU77" s="213"/>
      <c r="CV77" s="213"/>
      <c r="CW77" s="213"/>
      <c r="CX77" s="213"/>
      <c r="CY77" s="213"/>
      <c r="CZ77" s="214"/>
      <c r="DA77" s="214"/>
      <c r="DB77" s="214"/>
      <c r="DC77" s="214"/>
      <c r="DD77" s="214"/>
      <c r="DE77" s="214"/>
      <c r="DF77" s="214"/>
      <c r="DG77" s="214"/>
      <c r="DH77" s="214"/>
      <c r="DI77" s="214"/>
      <c r="DJ77" s="214"/>
      <c r="DK77" s="214"/>
      <c r="DL77" s="214"/>
      <c r="DM77" s="214"/>
    </row>
    <row r="78" spans="1:117" s="215" customFormat="1" ht="12.75" hidden="1">
      <c r="A78" s="413" t="s">
        <v>410</v>
      </c>
      <c r="B78" s="414" t="s">
        <v>399</v>
      </c>
      <c r="C78" s="272"/>
      <c r="D78" s="272"/>
      <c r="E78" s="272"/>
      <c r="F78" s="272"/>
      <c r="G78" s="391">
        <v>7.84</v>
      </c>
      <c r="H78" s="273"/>
      <c r="I78" s="289"/>
      <c r="J78" s="289"/>
      <c r="K78" s="289"/>
      <c r="L78" s="289"/>
      <c r="M78" s="289"/>
      <c r="N78" s="289"/>
      <c r="O78" s="289"/>
      <c r="P78" s="289"/>
      <c r="Q78" s="399">
        <f t="shared" si="23"/>
        <v>7.84</v>
      </c>
      <c r="R78" s="289"/>
      <c r="S78" s="289"/>
      <c r="T78" s="289"/>
      <c r="U78" s="289"/>
      <c r="V78" s="289"/>
      <c r="W78" s="289"/>
      <c r="X78" s="345"/>
      <c r="Y78" s="345"/>
      <c r="Z78" s="289"/>
      <c r="AA78" s="289"/>
      <c r="AB78" s="289"/>
      <c r="AC78" s="289"/>
      <c r="AD78" s="363"/>
      <c r="AE78" s="363"/>
      <c r="AF78" s="363">
        <v>5.096</v>
      </c>
      <c r="AG78" s="363"/>
      <c r="AH78" s="363">
        <v>2.7439999999999998</v>
      </c>
      <c r="AI78" s="363"/>
      <c r="AJ78" s="363"/>
      <c r="AK78" s="363"/>
      <c r="AL78" s="363"/>
      <c r="AM78" s="363"/>
      <c r="AN78" s="348">
        <f t="shared" si="21"/>
        <v>7.84</v>
      </c>
      <c r="AO78" s="348">
        <f t="shared" si="21"/>
        <v>0</v>
      </c>
      <c r="AP78" s="349">
        <f>AN78+AB78</f>
        <v>7.84</v>
      </c>
      <c r="AQ78" s="286">
        <f t="shared" si="19"/>
        <v>7.84</v>
      </c>
      <c r="AR78" s="27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c r="CP78" s="213"/>
      <c r="CQ78" s="213"/>
      <c r="CR78" s="213"/>
      <c r="CS78" s="213"/>
      <c r="CT78" s="213"/>
      <c r="CU78" s="213"/>
      <c r="CV78" s="213"/>
      <c r="CW78" s="213"/>
      <c r="CX78" s="213"/>
      <c r="CY78" s="213"/>
      <c r="CZ78" s="214"/>
      <c r="DA78" s="214"/>
      <c r="DB78" s="214"/>
      <c r="DC78" s="214"/>
      <c r="DD78" s="214"/>
      <c r="DE78" s="214"/>
      <c r="DF78" s="214"/>
      <c r="DG78" s="214"/>
      <c r="DH78" s="214"/>
      <c r="DI78" s="214"/>
      <c r="DJ78" s="214"/>
      <c r="DK78" s="214"/>
      <c r="DL78" s="214"/>
      <c r="DM78" s="214"/>
    </row>
    <row r="79" spans="1:117" s="215" customFormat="1" ht="12.75" hidden="1">
      <c r="A79" s="413" t="s">
        <v>410</v>
      </c>
      <c r="B79" s="414" t="s">
        <v>417</v>
      </c>
      <c r="C79" s="272"/>
      <c r="D79" s="272"/>
      <c r="E79" s="272"/>
      <c r="F79" s="272"/>
      <c r="G79" s="391">
        <v>0.925</v>
      </c>
      <c r="H79" s="273"/>
      <c r="I79" s="289"/>
      <c r="J79" s="289"/>
      <c r="K79" s="289"/>
      <c r="L79" s="289"/>
      <c r="M79" s="289"/>
      <c r="N79" s="289"/>
      <c r="O79" s="289"/>
      <c r="P79" s="289"/>
      <c r="Q79" s="399">
        <f t="shared" si="23"/>
        <v>0.925</v>
      </c>
      <c r="R79" s="289"/>
      <c r="S79" s="289"/>
      <c r="T79" s="289"/>
      <c r="U79" s="289"/>
      <c r="V79" s="289"/>
      <c r="W79" s="289"/>
      <c r="X79" s="345"/>
      <c r="Y79" s="345"/>
      <c r="Z79" s="289"/>
      <c r="AA79" s="289"/>
      <c r="AB79" s="289"/>
      <c r="AC79" s="289"/>
      <c r="AD79" s="363"/>
      <c r="AE79" s="363"/>
      <c r="AF79" s="363">
        <v>0</v>
      </c>
      <c r="AG79" s="363"/>
      <c r="AH79" s="363">
        <v>0</v>
      </c>
      <c r="AI79" s="363"/>
      <c r="AJ79" s="363"/>
      <c r="AK79" s="363"/>
      <c r="AL79" s="363"/>
      <c r="AM79" s="363"/>
      <c r="AN79" s="348">
        <f t="shared" si="21"/>
        <v>0</v>
      </c>
      <c r="AO79" s="348">
        <f t="shared" si="21"/>
        <v>0</v>
      </c>
      <c r="AP79" s="348">
        <f>AN79+AB79</f>
        <v>0</v>
      </c>
      <c r="AQ79" s="286">
        <f t="shared" si="19"/>
        <v>0.925</v>
      </c>
      <c r="AR79" s="27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c r="CP79" s="213"/>
      <c r="CQ79" s="213"/>
      <c r="CR79" s="213"/>
      <c r="CS79" s="213"/>
      <c r="CT79" s="213"/>
      <c r="CU79" s="213"/>
      <c r="CV79" s="213"/>
      <c r="CW79" s="213"/>
      <c r="CX79" s="213"/>
      <c r="CY79" s="213"/>
      <c r="CZ79" s="214"/>
      <c r="DA79" s="214"/>
      <c r="DB79" s="214"/>
      <c r="DC79" s="214"/>
      <c r="DD79" s="214"/>
      <c r="DE79" s="214"/>
      <c r="DF79" s="214"/>
      <c r="DG79" s="214"/>
      <c r="DH79" s="214"/>
      <c r="DI79" s="214"/>
      <c r="DJ79" s="214"/>
      <c r="DK79" s="214"/>
      <c r="DL79" s="214"/>
      <c r="DM79" s="214"/>
    </row>
    <row r="80" spans="1:117" s="215" customFormat="1" ht="57" customHeight="1">
      <c r="A80" s="273">
        <v>10</v>
      </c>
      <c r="B80" s="414" t="s">
        <v>441</v>
      </c>
      <c r="C80" s="272" t="s">
        <v>442</v>
      </c>
      <c r="D80" s="272"/>
      <c r="E80" s="272" t="s">
        <v>403</v>
      </c>
      <c r="F80" s="272" t="s">
        <v>443</v>
      </c>
      <c r="G80" s="417">
        <f>SUM(G81:G85)</f>
        <v>1499.9990704</v>
      </c>
      <c r="H80" s="290">
        <f>SUM(H81:H85)</f>
        <v>0</v>
      </c>
      <c r="I80" s="290">
        <f>SUM(I81:I85)</f>
        <v>0</v>
      </c>
      <c r="J80" s="290"/>
      <c r="K80" s="290"/>
      <c r="L80" s="290"/>
      <c r="M80" s="290"/>
      <c r="N80" s="290">
        <f aca="true" t="shared" si="27" ref="N80:AO80">SUM(N81:N85)</f>
        <v>0</v>
      </c>
      <c r="O80" s="290">
        <f t="shared" si="27"/>
        <v>0</v>
      </c>
      <c r="P80" s="290">
        <f t="shared" si="27"/>
        <v>0</v>
      </c>
      <c r="Q80" s="399">
        <f t="shared" si="23"/>
        <v>1499.9990704</v>
      </c>
      <c r="R80" s="290">
        <f t="shared" si="27"/>
        <v>0</v>
      </c>
      <c r="S80" s="290">
        <f t="shared" si="27"/>
        <v>0</v>
      </c>
      <c r="T80" s="290">
        <f t="shared" si="27"/>
        <v>0</v>
      </c>
      <c r="U80" s="290">
        <f t="shared" si="27"/>
        <v>0</v>
      </c>
      <c r="V80" s="290">
        <f t="shared" si="27"/>
        <v>0</v>
      </c>
      <c r="W80" s="290">
        <f t="shared" si="27"/>
        <v>0</v>
      </c>
      <c r="X80" s="290">
        <f t="shared" si="27"/>
        <v>0</v>
      </c>
      <c r="Y80" s="290">
        <f t="shared" si="27"/>
        <v>0</v>
      </c>
      <c r="Z80" s="290">
        <f t="shared" si="27"/>
        <v>0</v>
      </c>
      <c r="AA80" s="290">
        <f t="shared" si="27"/>
        <v>0</v>
      </c>
      <c r="AB80" s="290">
        <f t="shared" si="27"/>
        <v>74.63844399999999</v>
      </c>
      <c r="AC80" s="290">
        <f t="shared" si="27"/>
        <v>0</v>
      </c>
      <c r="AD80" s="290">
        <f t="shared" si="27"/>
        <v>0</v>
      </c>
      <c r="AE80" s="290">
        <f t="shared" si="27"/>
        <v>0</v>
      </c>
      <c r="AF80" s="290">
        <f t="shared" si="27"/>
        <v>887.09691415</v>
      </c>
      <c r="AG80" s="290">
        <f t="shared" si="27"/>
        <v>0</v>
      </c>
      <c r="AH80" s="290">
        <f t="shared" si="27"/>
        <v>532.34086685</v>
      </c>
      <c r="AI80" s="290">
        <f t="shared" si="27"/>
        <v>0</v>
      </c>
      <c r="AJ80" s="290">
        <f t="shared" si="27"/>
        <v>0</v>
      </c>
      <c r="AK80" s="290">
        <f t="shared" si="27"/>
        <v>0</v>
      </c>
      <c r="AL80" s="290">
        <f t="shared" si="27"/>
        <v>0</v>
      </c>
      <c r="AM80" s="290">
        <f t="shared" si="27"/>
        <v>0</v>
      </c>
      <c r="AN80" s="416">
        <f t="shared" si="27"/>
        <v>1419.437781</v>
      </c>
      <c r="AO80" s="290">
        <f t="shared" si="27"/>
        <v>0</v>
      </c>
      <c r="AP80" s="416">
        <f>SUM(AP81:AP85)</f>
        <v>1494.076225</v>
      </c>
      <c r="AQ80" s="286">
        <f t="shared" si="19"/>
        <v>1499.9990704</v>
      </c>
      <c r="AR80" s="395" t="s">
        <v>521</v>
      </c>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c r="CP80" s="213"/>
      <c r="CQ80" s="213"/>
      <c r="CR80" s="213"/>
      <c r="CS80" s="213"/>
      <c r="CT80" s="213"/>
      <c r="CU80" s="213"/>
      <c r="CV80" s="213"/>
      <c r="CW80" s="213"/>
      <c r="CX80" s="213"/>
      <c r="CY80" s="213"/>
      <c r="CZ80" s="214"/>
      <c r="DA80" s="214"/>
      <c r="DB80" s="214"/>
      <c r="DC80" s="214"/>
      <c r="DD80" s="214"/>
      <c r="DE80" s="214"/>
      <c r="DF80" s="214"/>
      <c r="DG80" s="214"/>
      <c r="DH80" s="214"/>
      <c r="DI80" s="214"/>
      <c r="DJ80" s="214"/>
      <c r="DK80" s="214"/>
      <c r="DL80" s="214"/>
      <c r="DM80" s="214"/>
    </row>
    <row r="81" spans="1:117" s="215" customFormat="1" ht="12.75" hidden="1">
      <c r="A81" s="413" t="s">
        <v>410</v>
      </c>
      <c r="B81" s="414" t="s">
        <v>423</v>
      </c>
      <c r="C81" s="272"/>
      <c r="D81" s="272"/>
      <c r="E81" s="272"/>
      <c r="F81" s="272"/>
      <c r="G81" s="421">
        <v>1341.374415</v>
      </c>
      <c r="H81" s="273"/>
      <c r="I81" s="289"/>
      <c r="J81" s="289"/>
      <c r="K81" s="289"/>
      <c r="L81" s="289"/>
      <c r="M81" s="289"/>
      <c r="N81" s="289"/>
      <c r="O81" s="289"/>
      <c r="P81" s="289"/>
      <c r="Q81" s="399">
        <f t="shared" si="23"/>
        <v>1341.374415</v>
      </c>
      <c r="R81" s="289"/>
      <c r="S81" s="289"/>
      <c r="T81" s="289"/>
      <c r="U81" s="289"/>
      <c r="V81" s="289"/>
      <c r="W81" s="289"/>
      <c r="X81" s="345"/>
      <c r="Y81" s="345"/>
      <c r="Z81" s="289"/>
      <c r="AA81" s="289"/>
      <c r="AB81" s="289"/>
      <c r="AC81" s="289"/>
      <c r="AD81" s="363"/>
      <c r="AE81" s="363"/>
      <c r="AF81" s="363">
        <v>852.6657165</v>
      </c>
      <c r="AG81" s="363"/>
      <c r="AH81" s="363">
        <f>459.1276935+29.58-0.37</f>
        <v>488.3376935</v>
      </c>
      <c r="AI81" s="363"/>
      <c r="AJ81" s="363"/>
      <c r="AK81" s="363"/>
      <c r="AL81" s="363"/>
      <c r="AM81" s="363"/>
      <c r="AN81" s="386">
        <f t="shared" si="21"/>
        <v>1341.00341</v>
      </c>
      <c r="AO81" s="348">
        <f t="shared" si="21"/>
        <v>0</v>
      </c>
      <c r="AP81" s="386">
        <f>AN81+AB81</f>
        <v>1341.00341</v>
      </c>
      <c r="AQ81" s="286">
        <f t="shared" si="19"/>
        <v>1341.374415</v>
      </c>
      <c r="AR81" s="422"/>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13"/>
      <c r="CP81" s="213"/>
      <c r="CQ81" s="213"/>
      <c r="CR81" s="213"/>
      <c r="CS81" s="213"/>
      <c r="CT81" s="213"/>
      <c r="CU81" s="213"/>
      <c r="CV81" s="213"/>
      <c r="CW81" s="213"/>
      <c r="CX81" s="213"/>
      <c r="CY81" s="213"/>
      <c r="CZ81" s="214"/>
      <c r="DA81" s="214"/>
      <c r="DB81" s="214"/>
      <c r="DC81" s="214"/>
      <c r="DD81" s="214"/>
      <c r="DE81" s="214"/>
      <c r="DF81" s="214"/>
      <c r="DG81" s="214"/>
      <c r="DH81" s="214"/>
      <c r="DI81" s="214"/>
      <c r="DJ81" s="214"/>
      <c r="DK81" s="214"/>
      <c r="DL81" s="214"/>
      <c r="DM81" s="214"/>
    </row>
    <row r="82" spans="1:117" s="215" customFormat="1" ht="12.75" hidden="1">
      <c r="A82" s="413" t="s">
        <v>410</v>
      </c>
      <c r="B82" s="414" t="s">
        <v>408</v>
      </c>
      <c r="C82" s="272"/>
      <c r="D82" s="272"/>
      <c r="E82" s="272"/>
      <c r="F82" s="272"/>
      <c r="G82" s="420">
        <v>30.778446</v>
      </c>
      <c r="H82" s="273"/>
      <c r="I82" s="289"/>
      <c r="J82" s="289"/>
      <c r="K82" s="289"/>
      <c r="L82" s="289"/>
      <c r="M82" s="289"/>
      <c r="N82" s="289"/>
      <c r="O82" s="289"/>
      <c r="P82" s="289"/>
      <c r="Q82" s="399">
        <f t="shared" si="23"/>
        <v>30.778446</v>
      </c>
      <c r="R82" s="289"/>
      <c r="S82" s="289"/>
      <c r="T82" s="289"/>
      <c r="U82" s="289"/>
      <c r="V82" s="289"/>
      <c r="W82" s="289"/>
      <c r="X82" s="345"/>
      <c r="Y82" s="345"/>
      <c r="Z82" s="289"/>
      <c r="AA82" s="289"/>
      <c r="AB82" s="289"/>
      <c r="AC82" s="289"/>
      <c r="AD82" s="363"/>
      <c r="AE82" s="363"/>
      <c r="AF82" s="363">
        <v>19.5648024</v>
      </c>
      <c r="AG82" s="363"/>
      <c r="AH82" s="363">
        <f>10.5348936+0.68</f>
        <v>11.2148936</v>
      </c>
      <c r="AI82" s="363"/>
      <c r="AJ82" s="363"/>
      <c r="AK82" s="363"/>
      <c r="AL82" s="363"/>
      <c r="AM82" s="363"/>
      <c r="AN82" s="386">
        <f t="shared" si="21"/>
        <v>30.779696</v>
      </c>
      <c r="AO82" s="348">
        <f t="shared" si="21"/>
        <v>0</v>
      </c>
      <c r="AP82" s="386">
        <f>AN82+AB82</f>
        <v>30.779696</v>
      </c>
      <c r="AQ82" s="286">
        <f t="shared" si="19"/>
        <v>30.778446</v>
      </c>
      <c r="AR82" s="422"/>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c r="CP82" s="213"/>
      <c r="CQ82" s="213"/>
      <c r="CR82" s="213"/>
      <c r="CS82" s="213"/>
      <c r="CT82" s="213"/>
      <c r="CU82" s="213"/>
      <c r="CV82" s="213"/>
      <c r="CW82" s="213"/>
      <c r="CX82" s="213"/>
      <c r="CY82" s="213"/>
      <c r="CZ82" s="214"/>
      <c r="DA82" s="214"/>
      <c r="DB82" s="214"/>
      <c r="DC82" s="214"/>
      <c r="DD82" s="214"/>
      <c r="DE82" s="214"/>
      <c r="DF82" s="214"/>
      <c r="DG82" s="214"/>
      <c r="DH82" s="214"/>
      <c r="DI82" s="214"/>
      <c r="DJ82" s="214"/>
      <c r="DK82" s="214"/>
      <c r="DL82" s="214"/>
      <c r="DM82" s="214"/>
    </row>
    <row r="83" spans="1:117" s="215" customFormat="1" ht="12.75" hidden="1">
      <c r="A83" s="413" t="s">
        <v>410</v>
      </c>
      <c r="B83" s="414" t="s">
        <v>430</v>
      </c>
      <c r="C83" s="272"/>
      <c r="D83" s="272"/>
      <c r="E83" s="272"/>
      <c r="F83" s="272"/>
      <c r="G83" s="423">
        <v>115.5952094</v>
      </c>
      <c r="H83" s="273"/>
      <c r="I83" s="289"/>
      <c r="J83" s="289"/>
      <c r="K83" s="289"/>
      <c r="L83" s="289"/>
      <c r="M83" s="289"/>
      <c r="N83" s="289"/>
      <c r="O83" s="289"/>
      <c r="P83" s="289"/>
      <c r="Q83" s="399">
        <f t="shared" si="23"/>
        <v>115.5952094</v>
      </c>
      <c r="R83" s="289"/>
      <c r="S83" s="289"/>
      <c r="T83" s="289"/>
      <c r="U83" s="289"/>
      <c r="V83" s="289"/>
      <c r="W83" s="289"/>
      <c r="X83" s="345"/>
      <c r="Y83" s="345"/>
      <c r="Z83" s="289"/>
      <c r="AA83" s="289"/>
      <c r="AB83" s="391">
        <f>69.312563+5.325881</f>
        <v>74.63844399999999</v>
      </c>
      <c r="AC83" s="289"/>
      <c r="AD83" s="363"/>
      <c r="AE83" s="363"/>
      <c r="AF83" s="363">
        <f>85.14983925-AB83</f>
        <v>10.511395250000007</v>
      </c>
      <c r="AG83" s="363"/>
      <c r="AH83" s="363">
        <f>28.38327975+2.06</f>
        <v>30.44327975</v>
      </c>
      <c r="AI83" s="363"/>
      <c r="AJ83" s="363"/>
      <c r="AK83" s="363"/>
      <c r="AL83" s="363"/>
      <c r="AM83" s="363"/>
      <c r="AN83" s="386">
        <f t="shared" si="21"/>
        <v>40.95467500000001</v>
      </c>
      <c r="AO83" s="348">
        <f t="shared" si="21"/>
        <v>0</v>
      </c>
      <c r="AP83" s="348">
        <f>AN83+AB83</f>
        <v>115.593119</v>
      </c>
      <c r="AQ83" s="286">
        <f t="shared" si="19"/>
        <v>115.5952094</v>
      </c>
      <c r="AR83" s="422"/>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c r="CO83" s="213"/>
      <c r="CP83" s="213"/>
      <c r="CQ83" s="213"/>
      <c r="CR83" s="213"/>
      <c r="CS83" s="213"/>
      <c r="CT83" s="213"/>
      <c r="CU83" s="213"/>
      <c r="CV83" s="213"/>
      <c r="CW83" s="213"/>
      <c r="CX83" s="213"/>
      <c r="CY83" s="213"/>
      <c r="CZ83" s="214"/>
      <c r="DA83" s="214"/>
      <c r="DB83" s="214"/>
      <c r="DC83" s="214"/>
      <c r="DD83" s="214"/>
      <c r="DE83" s="214"/>
      <c r="DF83" s="214"/>
      <c r="DG83" s="214"/>
      <c r="DH83" s="214"/>
      <c r="DI83" s="214"/>
      <c r="DJ83" s="214"/>
      <c r="DK83" s="214"/>
      <c r="DL83" s="214"/>
      <c r="DM83" s="214"/>
    </row>
    <row r="84" spans="1:117" s="215" customFormat="1" ht="12.75" hidden="1">
      <c r="A84" s="413" t="s">
        <v>410</v>
      </c>
      <c r="B84" s="414" t="s">
        <v>399</v>
      </c>
      <c r="C84" s="272"/>
      <c r="D84" s="272"/>
      <c r="E84" s="272"/>
      <c r="F84" s="272"/>
      <c r="G84" s="391">
        <v>6.7</v>
      </c>
      <c r="H84" s="273"/>
      <c r="I84" s="289"/>
      <c r="J84" s="289"/>
      <c r="K84" s="289"/>
      <c r="L84" s="289"/>
      <c r="M84" s="289"/>
      <c r="N84" s="289"/>
      <c r="O84" s="289"/>
      <c r="P84" s="289"/>
      <c r="Q84" s="399">
        <f t="shared" si="23"/>
        <v>6.7</v>
      </c>
      <c r="R84" s="289"/>
      <c r="S84" s="289"/>
      <c r="T84" s="289"/>
      <c r="U84" s="289"/>
      <c r="V84" s="289"/>
      <c r="W84" s="289"/>
      <c r="X84" s="345"/>
      <c r="Y84" s="345"/>
      <c r="Z84" s="289"/>
      <c r="AA84" s="289"/>
      <c r="AB84" s="289"/>
      <c r="AC84" s="289"/>
      <c r="AD84" s="363"/>
      <c r="AE84" s="363"/>
      <c r="AF84" s="363">
        <v>4.355</v>
      </c>
      <c r="AG84" s="363"/>
      <c r="AH84" s="363">
        <v>2.3449999999999998</v>
      </c>
      <c r="AI84" s="363"/>
      <c r="AJ84" s="363"/>
      <c r="AK84" s="363"/>
      <c r="AL84" s="363"/>
      <c r="AM84" s="363"/>
      <c r="AN84" s="386">
        <f t="shared" si="21"/>
        <v>6.7</v>
      </c>
      <c r="AO84" s="348">
        <f t="shared" si="21"/>
        <v>0</v>
      </c>
      <c r="AP84" s="386">
        <f>AN84+AB84</f>
        <v>6.7</v>
      </c>
      <c r="AQ84" s="286">
        <f t="shared" si="19"/>
        <v>6.7</v>
      </c>
      <c r="AR84" s="27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c r="CO84" s="213"/>
      <c r="CP84" s="213"/>
      <c r="CQ84" s="213"/>
      <c r="CR84" s="213"/>
      <c r="CS84" s="213"/>
      <c r="CT84" s="213"/>
      <c r="CU84" s="213"/>
      <c r="CV84" s="213"/>
      <c r="CW84" s="213"/>
      <c r="CX84" s="213"/>
      <c r="CY84" s="213"/>
      <c r="CZ84" s="214"/>
      <c r="DA84" s="214"/>
      <c r="DB84" s="214"/>
      <c r="DC84" s="214"/>
      <c r="DD84" s="214"/>
      <c r="DE84" s="214"/>
      <c r="DF84" s="214"/>
      <c r="DG84" s="214"/>
      <c r="DH84" s="214"/>
      <c r="DI84" s="214"/>
      <c r="DJ84" s="214"/>
      <c r="DK84" s="214"/>
      <c r="DL84" s="214"/>
      <c r="DM84" s="214"/>
    </row>
    <row r="85" spans="1:117" s="215" customFormat="1" ht="12.75" hidden="1">
      <c r="A85" s="413" t="s">
        <v>410</v>
      </c>
      <c r="B85" s="414" t="s">
        <v>417</v>
      </c>
      <c r="C85" s="272"/>
      <c r="D85" s="272"/>
      <c r="E85" s="272"/>
      <c r="F85" s="272"/>
      <c r="G85" s="391">
        <v>5.551</v>
      </c>
      <c r="H85" s="273"/>
      <c r="I85" s="289"/>
      <c r="J85" s="289"/>
      <c r="K85" s="289"/>
      <c r="L85" s="289"/>
      <c r="M85" s="289"/>
      <c r="N85" s="289"/>
      <c r="O85" s="289"/>
      <c r="P85" s="289"/>
      <c r="Q85" s="399">
        <f t="shared" si="23"/>
        <v>5.551</v>
      </c>
      <c r="R85" s="289"/>
      <c r="S85" s="289"/>
      <c r="T85" s="289"/>
      <c r="U85" s="289"/>
      <c r="V85" s="289"/>
      <c r="W85" s="289"/>
      <c r="X85" s="345"/>
      <c r="Y85" s="345"/>
      <c r="Z85" s="289"/>
      <c r="AA85" s="289"/>
      <c r="AB85" s="289"/>
      <c r="AC85" s="289"/>
      <c r="AD85" s="363"/>
      <c r="AE85" s="363"/>
      <c r="AF85" s="363"/>
      <c r="AG85" s="363"/>
      <c r="AH85" s="363"/>
      <c r="AI85" s="363"/>
      <c r="AJ85" s="363"/>
      <c r="AK85" s="363"/>
      <c r="AL85" s="363"/>
      <c r="AM85" s="363"/>
      <c r="AN85" s="348"/>
      <c r="AO85" s="348">
        <f>AG85+AI85+AK85+AM85</f>
        <v>0</v>
      </c>
      <c r="AP85" s="348"/>
      <c r="AQ85" s="286">
        <f t="shared" si="19"/>
        <v>5.551</v>
      </c>
      <c r="AR85" s="27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13"/>
      <c r="CP85" s="213"/>
      <c r="CQ85" s="213"/>
      <c r="CR85" s="213"/>
      <c r="CS85" s="213"/>
      <c r="CT85" s="213"/>
      <c r="CU85" s="213"/>
      <c r="CV85" s="213"/>
      <c r="CW85" s="213"/>
      <c r="CX85" s="213"/>
      <c r="CY85" s="213"/>
      <c r="CZ85" s="214"/>
      <c r="DA85" s="214"/>
      <c r="DB85" s="214"/>
      <c r="DC85" s="214"/>
      <c r="DD85" s="214"/>
      <c r="DE85" s="214"/>
      <c r="DF85" s="214"/>
      <c r="DG85" s="214"/>
      <c r="DH85" s="214"/>
      <c r="DI85" s="214"/>
      <c r="DJ85" s="214"/>
      <c r="DK85" s="214"/>
      <c r="DL85" s="214"/>
      <c r="DM85" s="214"/>
    </row>
    <row r="86" spans="1:117" s="215" customFormat="1" ht="45">
      <c r="A86" s="273">
        <v>11</v>
      </c>
      <c r="B86" s="414" t="s">
        <v>444</v>
      </c>
      <c r="C86" s="272" t="s">
        <v>445</v>
      </c>
      <c r="D86" s="272"/>
      <c r="E86" s="272" t="s">
        <v>403</v>
      </c>
      <c r="F86" s="272" t="s">
        <v>446</v>
      </c>
      <c r="G86" s="292">
        <f>SUM(G87:G91)</f>
        <v>1000.0000000000001</v>
      </c>
      <c r="H86" s="289">
        <f>SUM(H87:H91)</f>
        <v>0</v>
      </c>
      <c r="I86" s="289">
        <f>SUM(I87:I91)</f>
        <v>0</v>
      </c>
      <c r="J86" s="289"/>
      <c r="K86" s="289"/>
      <c r="L86" s="289"/>
      <c r="M86" s="289"/>
      <c r="N86" s="289">
        <f aca="true" t="shared" si="28" ref="N86:AO86">SUM(N87:N91)</f>
        <v>0</v>
      </c>
      <c r="O86" s="289">
        <f t="shared" si="28"/>
        <v>0</v>
      </c>
      <c r="P86" s="289">
        <f t="shared" si="28"/>
        <v>0</v>
      </c>
      <c r="Q86" s="399">
        <f t="shared" si="23"/>
        <v>1000.0000000000001</v>
      </c>
      <c r="R86" s="289">
        <f t="shared" si="28"/>
        <v>0</v>
      </c>
      <c r="S86" s="289">
        <f t="shared" si="28"/>
        <v>0</v>
      </c>
      <c r="T86" s="289">
        <f t="shared" si="28"/>
        <v>0</v>
      </c>
      <c r="U86" s="289">
        <f t="shared" si="28"/>
        <v>0</v>
      </c>
      <c r="V86" s="289">
        <f t="shared" si="28"/>
        <v>0</v>
      </c>
      <c r="W86" s="289">
        <f t="shared" si="28"/>
        <v>0</v>
      </c>
      <c r="X86" s="289">
        <f t="shared" si="28"/>
        <v>0</v>
      </c>
      <c r="Y86" s="289">
        <f t="shared" si="28"/>
        <v>0</v>
      </c>
      <c r="Z86" s="289">
        <f t="shared" si="28"/>
        <v>0</v>
      </c>
      <c r="AA86" s="289">
        <f t="shared" si="28"/>
        <v>0</v>
      </c>
      <c r="AB86" s="289">
        <f t="shared" si="28"/>
        <v>0</v>
      </c>
      <c r="AC86" s="289">
        <f t="shared" si="28"/>
        <v>0</v>
      </c>
      <c r="AD86" s="289">
        <f t="shared" si="28"/>
        <v>0</v>
      </c>
      <c r="AE86" s="289">
        <f t="shared" si="28"/>
        <v>0</v>
      </c>
      <c r="AF86" s="289">
        <f t="shared" si="28"/>
        <v>175</v>
      </c>
      <c r="AG86" s="289">
        <f t="shared" si="28"/>
        <v>0</v>
      </c>
      <c r="AH86" s="289">
        <f t="shared" si="28"/>
        <v>821.6100000000001</v>
      </c>
      <c r="AI86" s="289">
        <f t="shared" si="28"/>
        <v>0</v>
      </c>
      <c r="AJ86" s="289">
        <f t="shared" si="28"/>
        <v>0</v>
      </c>
      <c r="AK86" s="289">
        <f t="shared" si="28"/>
        <v>0</v>
      </c>
      <c r="AL86" s="289">
        <f t="shared" si="28"/>
        <v>0</v>
      </c>
      <c r="AM86" s="289">
        <f t="shared" si="28"/>
        <v>0</v>
      </c>
      <c r="AN86" s="289">
        <f t="shared" si="28"/>
        <v>996.6100000000001</v>
      </c>
      <c r="AO86" s="289">
        <f t="shared" si="28"/>
        <v>0</v>
      </c>
      <c r="AP86" s="287">
        <f>SUM(AP87:AP91)</f>
        <v>996.6100000000001</v>
      </c>
      <c r="AQ86" s="286">
        <f t="shared" si="19"/>
        <v>1000.0000000000001</v>
      </c>
      <c r="AR86" s="395" t="s">
        <v>521</v>
      </c>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c r="CO86" s="213"/>
      <c r="CP86" s="213"/>
      <c r="CQ86" s="213"/>
      <c r="CR86" s="213"/>
      <c r="CS86" s="213"/>
      <c r="CT86" s="213"/>
      <c r="CU86" s="213"/>
      <c r="CV86" s="213"/>
      <c r="CW86" s="213"/>
      <c r="CX86" s="213"/>
      <c r="CY86" s="213"/>
      <c r="CZ86" s="214"/>
      <c r="DA86" s="214"/>
      <c r="DB86" s="214"/>
      <c r="DC86" s="214"/>
      <c r="DD86" s="214"/>
      <c r="DE86" s="214"/>
      <c r="DF86" s="214"/>
      <c r="DG86" s="214"/>
      <c r="DH86" s="214"/>
      <c r="DI86" s="214"/>
      <c r="DJ86" s="214"/>
      <c r="DK86" s="214"/>
      <c r="DL86" s="214"/>
      <c r="DM86" s="214"/>
    </row>
    <row r="87" spans="1:117" s="215" customFormat="1" ht="12.75" hidden="1">
      <c r="A87" s="273" t="s">
        <v>410</v>
      </c>
      <c r="B87" s="414" t="s">
        <v>423</v>
      </c>
      <c r="C87" s="272"/>
      <c r="D87" s="272"/>
      <c r="E87" s="272"/>
      <c r="F87" s="272"/>
      <c r="G87" s="391">
        <v>796.23</v>
      </c>
      <c r="H87" s="273"/>
      <c r="I87" s="289"/>
      <c r="J87" s="289"/>
      <c r="K87" s="289"/>
      <c r="L87" s="289"/>
      <c r="M87" s="289"/>
      <c r="N87" s="289"/>
      <c r="O87" s="289"/>
      <c r="P87" s="289"/>
      <c r="Q87" s="289"/>
      <c r="R87" s="289"/>
      <c r="S87" s="289"/>
      <c r="T87" s="289"/>
      <c r="U87" s="289"/>
      <c r="V87" s="289"/>
      <c r="W87" s="289"/>
      <c r="X87" s="345"/>
      <c r="Y87" s="345"/>
      <c r="Z87" s="289"/>
      <c r="AA87" s="289"/>
      <c r="AB87" s="289"/>
      <c r="AC87" s="289"/>
      <c r="AD87" s="363"/>
      <c r="AE87" s="363"/>
      <c r="AF87" s="363">
        <v>0</v>
      </c>
      <c r="AG87" s="363"/>
      <c r="AH87" s="363">
        <v>796.23</v>
      </c>
      <c r="AI87" s="363"/>
      <c r="AJ87" s="363"/>
      <c r="AK87" s="363"/>
      <c r="AL87" s="363"/>
      <c r="AM87" s="363"/>
      <c r="AN87" s="348">
        <f aca="true" t="shared" si="29" ref="AN87:AO90">AF87+AH87+AJ87+AL87</f>
        <v>796.23</v>
      </c>
      <c r="AO87" s="348">
        <f t="shared" si="29"/>
        <v>0</v>
      </c>
      <c r="AP87" s="386">
        <f aca="true" t="shared" si="30" ref="AP87:AQ90">AN87+AB87</f>
        <v>796.23</v>
      </c>
      <c r="AQ87" s="291">
        <f t="shared" si="30"/>
        <v>0</v>
      </c>
      <c r="AR87" s="27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c r="CO87" s="213"/>
      <c r="CP87" s="213"/>
      <c r="CQ87" s="213"/>
      <c r="CR87" s="213"/>
      <c r="CS87" s="213"/>
      <c r="CT87" s="213"/>
      <c r="CU87" s="213"/>
      <c r="CV87" s="213"/>
      <c r="CW87" s="213"/>
      <c r="CX87" s="213"/>
      <c r="CY87" s="213"/>
      <c r="CZ87" s="214"/>
      <c r="DA87" s="214"/>
      <c r="DB87" s="214"/>
      <c r="DC87" s="214"/>
      <c r="DD87" s="214"/>
      <c r="DE87" s="214"/>
      <c r="DF87" s="214"/>
      <c r="DG87" s="214"/>
      <c r="DH87" s="214"/>
      <c r="DI87" s="214"/>
      <c r="DJ87" s="214"/>
      <c r="DK87" s="214"/>
      <c r="DL87" s="214"/>
      <c r="DM87" s="214"/>
    </row>
    <row r="88" spans="1:117" s="215" customFormat="1" ht="12.75" hidden="1">
      <c r="A88" s="413" t="s">
        <v>410</v>
      </c>
      <c r="B88" s="414" t="s">
        <v>408</v>
      </c>
      <c r="C88" s="272"/>
      <c r="D88" s="272"/>
      <c r="E88" s="272"/>
      <c r="F88" s="272"/>
      <c r="G88" s="391">
        <v>0</v>
      </c>
      <c r="H88" s="273"/>
      <c r="I88" s="289"/>
      <c r="J88" s="289"/>
      <c r="K88" s="289"/>
      <c r="L88" s="289"/>
      <c r="M88" s="289"/>
      <c r="N88" s="289"/>
      <c r="O88" s="289"/>
      <c r="P88" s="289"/>
      <c r="Q88" s="289"/>
      <c r="R88" s="289"/>
      <c r="S88" s="289"/>
      <c r="T88" s="289"/>
      <c r="U88" s="289"/>
      <c r="V88" s="289"/>
      <c r="W88" s="289"/>
      <c r="X88" s="345"/>
      <c r="Y88" s="345"/>
      <c r="Z88" s="289"/>
      <c r="AA88" s="289"/>
      <c r="AB88" s="289"/>
      <c r="AC88" s="289"/>
      <c r="AD88" s="363"/>
      <c r="AE88" s="363"/>
      <c r="AF88" s="363">
        <v>0</v>
      </c>
      <c r="AG88" s="363"/>
      <c r="AH88" s="363">
        <v>0</v>
      </c>
      <c r="AI88" s="363"/>
      <c r="AJ88" s="363"/>
      <c r="AK88" s="363"/>
      <c r="AL88" s="363"/>
      <c r="AM88" s="363"/>
      <c r="AN88" s="348">
        <f t="shared" si="29"/>
        <v>0</v>
      </c>
      <c r="AO88" s="348">
        <f t="shared" si="29"/>
        <v>0</v>
      </c>
      <c r="AP88" s="386">
        <f t="shared" si="30"/>
        <v>0</v>
      </c>
      <c r="AQ88" s="291">
        <f t="shared" si="30"/>
        <v>0</v>
      </c>
      <c r="AR88" s="27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c r="CO88" s="213"/>
      <c r="CP88" s="213"/>
      <c r="CQ88" s="213"/>
      <c r="CR88" s="213"/>
      <c r="CS88" s="213"/>
      <c r="CT88" s="213"/>
      <c r="CU88" s="213"/>
      <c r="CV88" s="213"/>
      <c r="CW88" s="213"/>
      <c r="CX88" s="213"/>
      <c r="CY88" s="213"/>
      <c r="CZ88" s="214"/>
      <c r="DA88" s="214"/>
      <c r="DB88" s="214"/>
      <c r="DC88" s="214"/>
      <c r="DD88" s="214"/>
      <c r="DE88" s="214"/>
      <c r="DF88" s="214"/>
      <c r="DG88" s="214"/>
      <c r="DH88" s="214"/>
      <c r="DI88" s="214"/>
      <c r="DJ88" s="214"/>
      <c r="DK88" s="214"/>
      <c r="DL88" s="214"/>
      <c r="DM88" s="214"/>
    </row>
    <row r="89" spans="1:117" s="215" customFormat="1" ht="12.75" hidden="1">
      <c r="A89" s="413" t="s">
        <v>410</v>
      </c>
      <c r="B89" s="414" t="s">
        <v>430</v>
      </c>
      <c r="C89" s="272"/>
      <c r="D89" s="272"/>
      <c r="E89" s="272"/>
      <c r="F89" s="272"/>
      <c r="G89" s="391">
        <v>197.18</v>
      </c>
      <c r="H89" s="273"/>
      <c r="I89" s="289"/>
      <c r="J89" s="289"/>
      <c r="K89" s="289"/>
      <c r="L89" s="289"/>
      <c r="M89" s="289"/>
      <c r="N89" s="289"/>
      <c r="O89" s="289"/>
      <c r="P89" s="289"/>
      <c r="Q89" s="289"/>
      <c r="R89" s="289"/>
      <c r="S89" s="289"/>
      <c r="T89" s="289"/>
      <c r="U89" s="289"/>
      <c r="V89" s="289"/>
      <c r="W89" s="289"/>
      <c r="X89" s="345"/>
      <c r="Y89" s="345"/>
      <c r="Z89" s="289"/>
      <c r="AA89" s="289"/>
      <c r="AB89" s="289"/>
      <c r="AC89" s="289"/>
      <c r="AD89" s="363"/>
      <c r="AE89" s="363"/>
      <c r="AF89" s="363">
        <v>175</v>
      </c>
      <c r="AG89" s="363"/>
      <c r="AH89" s="363">
        <v>22.180000000000007</v>
      </c>
      <c r="AI89" s="363"/>
      <c r="AJ89" s="363"/>
      <c r="AK89" s="363"/>
      <c r="AL89" s="363"/>
      <c r="AM89" s="363"/>
      <c r="AN89" s="348">
        <f t="shared" si="29"/>
        <v>197.18</v>
      </c>
      <c r="AO89" s="348">
        <f t="shared" si="29"/>
        <v>0</v>
      </c>
      <c r="AP89" s="386">
        <f t="shared" si="30"/>
        <v>197.18</v>
      </c>
      <c r="AQ89" s="291">
        <f t="shared" si="30"/>
        <v>0</v>
      </c>
      <c r="AR89" s="27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c r="CO89" s="213"/>
      <c r="CP89" s="213"/>
      <c r="CQ89" s="213"/>
      <c r="CR89" s="213"/>
      <c r="CS89" s="213"/>
      <c r="CT89" s="213"/>
      <c r="CU89" s="213"/>
      <c r="CV89" s="213"/>
      <c r="CW89" s="213"/>
      <c r="CX89" s="213"/>
      <c r="CY89" s="213"/>
      <c r="CZ89" s="214"/>
      <c r="DA89" s="214"/>
      <c r="DB89" s="214"/>
      <c r="DC89" s="214"/>
      <c r="DD89" s="214"/>
      <c r="DE89" s="214"/>
      <c r="DF89" s="214"/>
      <c r="DG89" s="214"/>
      <c r="DH89" s="214"/>
      <c r="DI89" s="214"/>
      <c r="DJ89" s="214"/>
      <c r="DK89" s="214"/>
      <c r="DL89" s="214"/>
      <c r="DM89" s="214"/>
    </row>
    <row r="90" spans="1:117" s="215" customFormat="1" ht="12.75" hidden="1">
      <c r="A90" s="413" t="s">
        <v>410</v>
      </c>
      <c r="B90" s="414" t="s">
        <v>399</v>
      </c>
      <c r="C90" s="272"/>
      <c r="D90" s="272"/>
      <c r="E90" s="272"/>
      <c r="F90" s="272"/>
      <c r="G90" s="391">
        <v>3.2</v>
      </c>
      <c r="H90" s="273"/>
      <c r="I90" s="289"/>
      <c r="J90" s="289"/>
      <c r="K90" s="289"/>
      <c r="L90" s="289"/>
      <c r="M90" s="289"/>
      <c r="N90" s="289"/>
      <c r="O90" s="289"/>
      <c r="P90" s="289"/>
      <c r="Q90" s="289"/>
      <c r="R90" s="289"/>
      <c r="S90" s="289"/>
      <c r="T90" s="289"/>
      <c r="U90" s="289"/>
      <c r="V90" s="289"/>
      <c r="W90" s="289"/>
      <c r="X90" s="345"/>
      <c r="Y90" s="345"/>
      <c r="Z90" s="289"/>
      <c r="AA90" s="289"/>
      <c r="AB90" s="289"/>
      <c r="AC90" s="289"/>
      <c r="AD90" s="363"/>
      <c r="AE90" s="363"/>
      <c r="AF90" s="363">
        <v>0</v>
      </c>
      <c r="AG90" s="363"/>
      <c r="AH90" s="363">
        <v>3.2</v>
      </c>
      <c r="AI90" s="363"/>
      <c r="AJ90" s="363"/>
      <c r="AK90" s="363"/>
      <c r="AL90" s="363"/>
      <c r="AM90" s="363"/>
      <c r="AN90" s="348">
        <f t="shared" si="29"/>
        <v>3.2</v>
      </c>
      <c r="AO90" s="348">
        <f t="shared" si="29"/>
        <v>0</v>
      </c>
      <c r="AP90" s="386">
        <f t="shared" si="30"/>
        <v>3.2</v>
      </c>
      <c r="AQ90" s="291">
        <f t="shared" si="30"/>
        <v>0</v>
      </c>
      <c r="AR90" s="27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c r="CO90" s="213"/>
      <c r="CP90" s="213"/>
      <c r="CQ90" s="213"/>
      <c r="CR90" s="213"/>
      <c r="CS90" s="213"/>
      <c r="CT90" s="213"/>
      <c r="CU90" s="213"/>
      <c r="CV90" s="213"/>
      <c r="CW90" s="213"/>
      <c r="CX90" s="213"/>
      <c r="CY90" s="213"/>
      <c r="CZ90" s="214"/>
      <c r="DA90" s="214"/>
      <c r="DB90" s="214"/>
      <c r="DC90" s="214"/>
      <c r="DD90" s="214"/>
      <c r="DE90" s="214"/>
      <c r="DF90" s="214"/>
      <c r="DG90" s="214"/>
      <c r="DH90" s="214"/>
      <c r="DI90" s="214"/>
      <c r="DJ90" s="214"/>
      <c r="DK90" s="214"/>
      <c r="DL90" s="214"/>
      <c r="DM90" s="214"/>
    </row>
    <row r="91" spans="1:117" s="215" customFormat="1" ht="12.75" hidden="1">
      <c r="A91" s="413" t="s">
        <v>410</v>
      </c>
      <c r="B91" s="414" t="s">
        <v>417</v>
      </c>
      <c r="C91" s="272"/>
      <c r="D91" s="272"/>
      <c r="E91" s="272"/>
      <c r="F91" s="272"/>
      <c r="G91" s="391">
        <v>3.39</v>
      </c>
      <c r="H91" s="273"/>
      <c r="I91" s="289"/>
      <c r="J91" s="289"/>
      <c r="K91" s="289"/>
      <c r="L91" s="289"/>
      <c r="M91" s="289"/>
      <c r="N91" s="289"/>
      <c r="O91" s="289"/>
      <c r="P91" s="289"/>
      <c r="Q91" s="289"/>
      <c r="R91" s="289"/>
      <c r="S91" s="289"/>
      <c r="T91" s="289"/>
      <c r="U91" s="289"/>
      <c r="V91" s="289"/>
      <c r="W91" s="289"/>
      <c r="X91" s="345"/>
      <c r="Y91" s="345"/>
      <c r="Z91" s="289"/>
      <c r="AA91" s="289"/>
      <c r="AB91" s="289"/>
      <c r="AC91" s="289"/>
      <c r="AD91" s="363"/>
      <c r="AE91" s="363"/>
      <c r="AF91" s="363"/>
      <c r="AG91" s="363"/>
      <c r="AH91" s="363"/>
      <c r="AI91" s="363"/>
      <c r="AJ91" s="363"/>
      <c r="AK91" s="363"/>
      <c r="AL91" s="363"/>
      <c r="AM91" s="363"/>
      <c r="AN91" s="348"/>
      <c r="AO91" s="348"/>
      <c r="AP91" s="386"/>
      <c r="AQ91" s="291">
        <f>AO91+AC91</f>
        <v>0</v>
      </c>
      <c r="AR91" s="27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c r="CO91" s="213"/>
      <c r="CP91" s="213"/>
      <c r="CQ91" s="213"/>
      <c r="CR91" s="213"/>
      <c r="CS91" s="213"/>
      <c r="CT91" s="213"/>
      <c r="CU91" s="213"/>
      <c r="CV91" s="213"/>
      <c r="CW91" s="213"/>
      <c r="CX91" s="213"/>
      <c r="CY91" s="213"/>
      <c r="CZ91" s="214"/>
      <c r="DA91" s="214"/>
      <c r="DB91" s="214"/>
      <c r="DC91" s="214"/>
      <c r="DD91" s="214"/>
      <c r="DE91" s="214"/>
      <c r="DF91" s="214"/>
      <c r="DG91" s="214"/>
      <c r="DH91" s="214"/>
      <c r="DI91" s="214"/>
      <c r="DJ91" s="214"/>
      <c r="DK91" s="214"/>
      <c r="DL91" s="214"/>
      <c r="DM91" s="214"/>
    </row>
    <row r="92" spans="1:103" s="196" customFormat="1" ht="18" customHeight="1">
      <c r="A92" s="330" t="s">
        <v>10</v>
      </c>
      <c r="B92" s="424" t="s">
        <v>447</v>
      </c>
      <c r="C92" s="425"/>
      <c r="D92" s="425"/>
      <c r="E92" s="425"/>
      <c r="F92" s="425"/>
      <c r="G92" s="426">
        <f>G93+G97+G105+G117+G129+G143+G159</f>
        <v>45185.336002000004</v>
      </c>
      <c r="H92" s="427"/>
      <c r="I92" s="426">
        <f aca="true" t="shared" si="31" ref="I92:AQ92">I93+I97+I105+I117+I129+I143+I159</f>
        <v>15945.336000000001</v>
      </c>
      <c r="J92" s="426">
        <f t="shared" si="31"/>
        <v>2490</v>
      </c>
      <c r="K92" s="426">
        <f t="shared" si="31"/>
        <v>1000</v>
      </c>
      <c r="L92" s="426">
        <f t="shared" si="31"/>
        <v>6300</v>
      </c>
      <c r="M92" s="426">
        <f t="shared" si="31"/>
        <v>700</v>
      </c>
      <c r="N92" s="426">
        <f t="shared" si="31"/>
        <v>10908.165999999997</v>
      </c>
      <c r="O92" s="426">
        <f t="shared" si="31"/>
        <v>9028.879</v>
      </c>
      <c r="P92" s="426">
        <f t="shared" si="31"/>
        <v>7790</v>
      </c>
      <c r="Q92" s="426">
        <f t="shared" si="31"/>
        <v>10490</v>
      </c>
      <c r="R92" s="426">
        <f t="shared" si="31"/>
        <v>2801.9589189999997</v>
      </c>
      <c r="S92" s="426">
        <f t="shared" si="31"/>
        <v>3000.000586</v>
      </c>
      <c r="T92" s="426">
        <f t="shared" si="31"/>
        <v>1678.9595</v>
      </c>
      <c r="U92" s="426">
        <f t="shared" si="31"/>
        <v>56</v>
      </c>
      <c r="V92" s="426">
        <f t="shared" si="31"/>
        <v>920.499</v>
      </c>
      <c r="W92" s="426">
        <f t="shared" si="31"/>
        <v>1549.8234</v>
      </c>
      <c r="X92" s="426">
        <f t="shared" si="31"/>
        <v>6100.582852</v>
      </c>
      <c r="Y92" s="426">
        <f t="shared" si="31"/>
        <v>7638.361399999999</v>
      </c>
      <c r="Z92" s="426">
        <f t="shared" si="31"/>
        <v>6068.326271</v>
      </c>
      <c r="AA92" s="426">
        <f t="shared" si="31"/>
        <v>5600.005586</v>
      </c>
      <c r="AB92" s="426">
        <f t="shared" si="31"/>
        <v>18356.301271</v>
      </c>
      <c r="AC92" s="426">
        <f t="shared" si="31"/>
        <v>11228.885586</v>
      </c>
      <c r="AD92" s="426">
        <f t="shared" si="31"/>
        <v>700</v>
      </c>
      <c r="AE92" s="426">
        <f t="shared" si="31"/>
        <v>11928.885586</v>
      </c>
      <c r="AF92" s="426">
        <f t="shared" si="31"/>
        <v>1698.473</v>
      </c>
      <c r="AG92" s="426">
        <f t="shared" si="31"/>
        <v>0</v>
      </c>
      <c r="AH92" s="426">
        <f t="shared" si="31"/>
        <v>841.2660000000001</v>
      </c>
      <c r="AI92" s="426">
        <f t="shared" si="31"/>
        <v>700</v>
      </c>
      <c r="AJ92" s="426">
        <f t="shared" si="31"/>
        <v>0</v>
      </c>
      <c r="AK92" s="426">
        <f t="shared" si="31"/>
        <v>0</v>
      </c>
      <c r="AL92" s="426">
        <f t="shared" si="31"/>
        <v>0</v>
      </c>
      <c r="AM92" s="426">
        <f t="shared" si="31"/>
        <v>0</v>
      </c>
      <c r="AN92" s="426">
        <f t="shared" si="31"/>
        <v>2539.739</v>
      </c>
      <c r="AO92" s="426">
        <f t="shared" si="31"/>
        <v>700</v>
      </c>
      <c r="AP92" s="426">
        <f t="shared" si="31"/>
        <v>20896.040271</v>
      </c>
      <c r="AQ92" s="426">
        <f t="shared" si="31"/>
        <v>10244.095586000001</v>
      </c>
      <c r="AR92" s="428">
        <f>Q93-AQ93</f>
        <v>245.91000000000008</v>
      </c>
      <c r="AS92" s="239"/>
      <c r="AT92" s="311"/>
      <c r="AU92" s="239"/>
      <c r="AV92" s="239"/>
      <c r="AW92" s="239"/>
      <c r="AX92" s="239"/>
      <c r="AY92" s="239"/>
      <c r="AZ92" s="239"/>
      <c r="BA92" s="239"/>
      <c r="BB92" s="239"/>
      <c r="BC92" s="239"/>
      <c r="BD92" s="239"/>
      <c r="BE92" s="239"/>
      <c r="BF92" s="239"/>
      <c r="BG92" s="239"/>
      <c r="BH92" s="239"/>
      <c r="BI92" s="239"/>
      <c r="BJ92" s="239"/>
      <c r="BK92" s="239"/>
      <c r="BL92" s="239"/>
      <c r="BM92" s="239"/>
      <c r="BN92" s="239"/>
      <c r="BO92" s="239"/>
      <c r="BP92" s="239"/>
      <c r="BQ92" s="239"/>
      <c r="BR92" s="239"/>
      <c r="BS92" s="239"/>
      <c r="BT92" s="239"/>
      <c r="BU92" s="239"/>
      <c r="BV92" s="239"/>
      <c r="BW92" s="239"/>
      <c r="BX92" s="239"/>
      <c r="BY92" s="239"/>
      <c r="BZ92" s="239"/>
      <c r="CA92" s="239"/>
      <c r="CB92" s="239"/>
      <c r="CC92" s="239"/>
      <c r="CD92" s="239"/>
      <c r="CE92" s="239"/>
      <c r="CF92" s="239"/>
      <c r="CG92" s="239"/>
      <c r="CH92" s="239"/>
      <c r="CI92" s="239"/>
      <c r="CJ92" s="239"/>
      <c r="CK92" s="239"/>
      <c r="CL92" s="239"/>
      <c r="CM92" s="239"/>
      <c r="CN92" s="239"/>
      <c r="CO92" s="239"/>
      <c r="CP92" s="239"/>
      <c r="CQ92" s="239"/>
      <c r="CR92" s="239"/>
      <c r="CS92" s="239"/>
      <c r="CT92" s="239"/>
      <c r="CU92" s="239"/>
      <c r="CV92" s="239"/>
      <c r="CW92" s="239"/>
      <c r="CX92" s="239"/>
      <c r="CY92" s="239"/>
    </row>
    <row r="93" spans="1:111" s="282" customFormat="1" ht="39" customHeight="1">
      <c r="A93" s="278">
        <v>12</v>
      </c>
      <c r="B93" s="429" t="s">
        <v>511</v>
      </c>
      <c r="C93" s="272"/>
      <c r="D93" s="272" t="s">
        <v>512</v>
      </c>
      <c r="E93" s="272" t="s">
        <v>513</v>
      </c>
      <c r="F93" s="272" t="s">
        <v>514</v>
      </c>
      <c r="G93" s="286">
        <f>SUM(G94:G96)</f>
        <v>5590</v>
      </c>
      <c r="H93" s="273"/>
      <c r="I93" s="286">
        <f>SUM(I94:I96)</f>
        <v>5590</v>
      </c>
      <c r="J93" s="294">
        <v>1490</v>
      </c>
      <c r="K93" s="286"/>
      <c r="L93" s="286"/>
      <c r="M93" s="286"/>
      <c r="N93" s="286">
        <f>SUM(N94:N96)</f>
        <v>5433.674</v>
      </c>
      <c r="O93" s="294">
        <f>SUM(O94:O96)</f>
        <v>4099.999</v>
      </c>
      <c r="P93" s="308">
        <v>1490</v>
      </c>
      <c r="Q93" s="309">
        <f>J93+K93+L93+M93</f>
        <v>1490</v>
      </c>
      <c r="R93" s="308">
        <v>0</v>
      </c>
      <c r="S93" s="308">
        <v>0</v>
      </c>
      <c r="T93" s="308">
        <v>0</v>
      </c>
      <c r="U93" s="308">
        <v>56</v>
      </c>
      <c r="V93" s="308"/>
      <c r="W93" s="310">
        <f>W94+W95+W96</f>
        <v>1244.0904</v>
      </c>
      <c r="X93" s="291">
        <f aca="true" t="shared" si="32" ref="X93:Y96">N93+V93</f>
        <v>5433.674</v>
      </c>
      <c r="Y93" s="291">
        <f t="shared" si="32"/>
        <v>5344.0894</v>
      </c>
      <c r="Z93" s="291"/>
      <c r="AA93" s="305"/>
      <c r="AB93" s="305"/>
      <c r="AC93" s="305"/>
      <c r="AD93" s="305"/>
      <c r="AE93" s="305"/>
      <c r="AF93" s="305"/>
      <c r="AG93" s="305"/>
      <c r="AH93" s="305"/>
      <c r="AI93" s="305"/>
      <c r="AJ93" s="305"/>
      <c r="AK93" s="305"/>
      <c r="AL93" s="305"/>
      <c r="AM93" s="305"/>
      <c r="AN93" s="305"/>
      <c r="AO93" s="305"/>
      <c r="AP93" s="305"/>
      <c r="AQ93" s="306">
        <f>Q93-245.91</f>
        <v>1244.09</v>
      </c>
      <c r="AR93" s="307" t="s">
        <v>520</v>
      </c>
      <c r="AS93" s="280"/>
      <c r="AT93" s="280"/>
      <c r="AU93" s="280"/>
      <c r="AV93" s="280"/>
      <c r="AW93" s="280"/>
      <c r="AX93" s="280"/>
      <c r="AY93" s="280"/>
      <c r="AZ93" s="280"/>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c r="BX93" s="280"/>
      <c r="BY93" s="280"/>
      <c r="BZ93" s="280"/>
      <c r="CA93" s="280"/>
      <c r="CB93" s="280"/>
      <c r="CC93" s="280"/>
      <c r="CD93" s="280"/>
      <c r="CE93" s="280"/>
      <c r="CF93" s="280"/>
      <c r="CG93" s="280"/>
      <c r="CH93" s="280"/>
      <c r="CI93" s="280"/>
      <c r="CJ93" s="280"/>
      <c r="CK93" s="280"/>
      <c r="CL93" s="280"/>
      <c r="CM93" s="280"/>
      <c r="CN93" s="280"/>
      <c r="CO93" s="280"/>
      <c r="CP93" s="280"/>
      <c r="CQ93" s="280"/>
      <c r="CR93" s="280"/>
      <c r="CS93" s="280"/>
      <c r="CT93" s="281"/>
      <c r="CU93" s="281"/>
      <c r="CV93" s="281"/>
      <c r="CW93" s="281"/>
      <c r="CX93" s="281"/>
      <c r="CY93" s="281"/>
      <c r="CZ93" s="281"/>
      <c r="DA93" s="281"/>
      <c r="DB93" s="281"/>
      <c r="DC93" s="281"/>
      <c r="DD93" s="281"/>
      <c r="DE93" s="281"/>
      <c r="DF93" s="281"/>
      <c r="DG93" s="281"/>
    </row>
    <row r="94" spans="1:111" s="282" customFormat="1" ht="18" customHeight="1" hidden="1">
      <c r="A94" s="283">
        <v>1</v>
      </c>
      <c r="B94" s="284" t="s">
        <v>515</v>
      </c>
      <c r="C94" s="272"/>
      <c r="D94" s="272"/>
      <c r="E94" s="272"/>
      <c r="F94" s="272"/>
      <c r="G94" s="285">
        <v>4628</v>
      </c>
      <c r="H94" s="273"/>
      <c r="I94" s="286">
        <v>4900.911</v>
      </c>
      <c r="J94" s="286"/>
      <c r="K94" s="286"/>
      <c r="L94" s="286"/>
      <c r="M94" s="286"/>
      <c r="N94" s="287">
        <f>I94</f>
        <v>4900.911</v>
      </c>
      <c r="O94" s="287">
        <f>2772+1000</f>
        <v>3772</v>
      </c>
      <c r="P94" s="288"/>
      <c r="Q94" s="288"/>
      <c r="R94" s="289">
        <v>0</v>
      </c>
      <c r="S94" s="289">
        <v>0</v>
      </c>
      <c r="T94" s="289">
        <v>0</v>
      </c>
      <c r="U94" s="289">
        <v>0</v>
      </c>
      <c r="V94" s="289"/>
      <c r="W94" s="290">
        <v>1128.911</v>
      </c>
      <c r="X94" s="291">
        <f t="shared" si="32"/>
        <v>4900.911</v>
      </c>
      <c r="Y94" s="291">
        <f t="shared" si="32"/>
        <v>4900.911</v>
      </c>
      <c r="Z94" s="291"/>
      <c r="AA94" s="305"/>
      <c r="AB94" s="305"/>
      <c r="AC94" s="305"/>
      <c r="AD94" s="305"/>
      <c r="AE94" s="305"/>
      <c r="AF94" s="305"/>
      <c r="AG94" s="305"/>
      <c r="AH94" s="305"/>
      <c r="AI94" s="305"/>
      <c r="AJ94" s="305"/>
      <c r="AK94" s="305"/>
      <c r="AL94" s="305"/>
      <c r="AM94" s="305"/>
      <c r="AN94" s="305"/>
      <c r="AO94" s="305"/>
      <c r="AP94" s="305"/>
      <c r="AQ94" s="307"/>
      <c r="AR94" s="305"/>
      <c r="AS94" s="280"/>
      <c r="AT94" s="280"/>
      <c r="AU94" s="280"/>
      <c r="AV94" s="280"/>
      <c r="AW94" s="280"/>
      <c r="AX94" s="280"/>
      <c r="AY94" s="280"/>
      <c r="AZ94" s="280"/>
      <c r="BA94" s="280"/>
      <c r="BB94" s="280"/>
      <c r="BC94" s="280"/>
      <c r="BD94" s="280"/>
      <c r="BE94" s="280"/>
      <c r="BF94" s="280"/>
      <c r="BG94" s="280"/>
      <c r="BH94" s="280"/>
      <c r="BI94" s="280"/>
      <c r="BJ94" s="280"/>
      <c r="BK94" s="280"/>
      <c r="BL94" s="280"/>
      <c r="BM94" s="280"/>
      <c r="BN94" s="280"/>
      <c r="BO94" s="280"/>
      <c r="BP94" s="280"/>
      <c r="BQ94" s="280"/>
      <c r="BR94" s="280"/>
      <c r="BS94" s="280"/>
      <c r="BT94" s="280"/>
      <c r="BU94" s="280"/>
      <c r="BV94" s="280"/>
      <c r="BW94" s="280"/>
      <c r="BX94" s="280"/>
      <c r="BY94" s="280"/>
      <c r="BZ94" s="280"/>
      <c r="CA94" s="280"/>
      <c r="CB94" s="280"/>
      <c r="CC94" s="280"/>
      <c r="CD94" s="280"/>
      <c r="CE94" s="280"/>
      <c r="CF94" s="280"/>
      <c r="CG94" s="280"/>
      <c r="CH94" s="280"/>
      <c r="CI94" s="280"/>
      <c r="CJ94" s="280"/>
      <c r="CK94" s="280"/>
      <c r="CL94" s="280"/>
      <c r="CM94" s="280"/>
      <c r="CN94" s="280"/>
      <c r="CO94" s="280"/>
      <c r="CP94" s="280"/>
      <c r="CQ94" s="280"/>
      <c r="CR94" s="280"/>
      <c r="CS94" s="280"/>
      <c r="CT94" s="281"/>
      <c r="CU94" s="281"/>
      <c r="CV94" s="281"/>
      <c r="CW94" s="281"/>
      <c r="CX94" s="281"/>
      <c r="CY94" s="281"/>
      <c r="CZ94" s="281"/>
      <c r="DA94" s="281"/>
      <c r="DB94" s="281"/>
      <c r="DC94" s="281"/>
      <c r="DD94" s="281"/>
      <c r="DE94" s="281"/>
      <c r="DF94" s="281"/>
      <c r="DG94" s="281"/>
    </row>
    <row r="95" spans="1:111" s="282" customFormat="1" ht="18" customHeight="1" hidden="1">
      <c r="A95" s="283">
        <v>3</v>
      </c>
      <c r="B95" s="284" t="s">
        <v>399</v>
      </c>
      <c r="C95" s="272"/>
      <c r="D95" s="272"/>
      <c r="E95" s="272"/>
      <c r="F95" s="272"/>
      <c r="G95" s="285">
        <f>106+340+52</f>
        <v>498</v>
      </c>
      <c r="H95" s="273"/>
      <c r="I95" s="286">
        <f>107.48+361.211+64.072</f>
        <v>532.763</v>
      </c>
      <c r="J95" s="286"/>
      <c r="K95" s="286"/>
      <c r="L95" s="286"/>
      <c r="M95" s="286"/>
      <c r="N95" s="287">
        <f>I95</f>
        <v>532.763</v>
      </c>
      <c r="O95" s="287">
        <f>47.758+125+17.493+39.37+11.088+87.29</f>
        <v>327.999</v>
      </c>
      <c r="P95" s="288"/>
      <c r="Q95" s="288"/>
      <c r="R95" s="289">
        <v>0</v>
      </c>
      <c r="S95" s="289">
        <v>0</v>
      </c>
      <c r="T95" s="289">
        <v>0</v>
      </c>
      <c r="U95" s="292">
        <v>56</v>
      </c>
      <c r="V95" s="289"/>
      <c r="W95" s="289">
        <f>56.1605+24.4815+14.078+20.4594</f>
        <v>115.1794</v>
      </c>
      <c r="X95" s="293">
        <f t="shared" si="32"/>
        <v>532.763</v>
      </c>
      <c r="Y95" s="291">
        <f t="shared" si="32"/>
        <v>443.1784</v>
      </c>
      <c r="Z95" s="291"/>
      <c r="AA95" s="305"/>
      <c r="AB95" s="305"/>
      <c r="AC95" s="305"/>
      <c r="AD95" s="305"/>
      <c r="AE95" s="305"/>
      <c r="AF95" s="305"/>
      <c r="AG95" s="305"/>
      <c r="AH95" s="305"/>
      <c r="AI95" s="305"/>
      <c r="AJ95" s="305"/>
      <c r="AK95" s="305"/>
      <c r="AL95" s="305"/>
      <c r="AM95" s="305"/>
      <c r="AN95" s="305"/>
      <c r="AO95" s="305"/>
      <c r="AP95" s="305"/>
      <c r="AQ95" s="307"/>
      <c r="AR95" s="305"/>
      <c r="AS95" s="280"/>
      <c r="AT95" s="280"/>
      <c r="AU95" s="280"/>
      <c r="AV95" s="280"/>
      <c r="AW95" s="280"/>
      <c r="AX95" s="280"/>
      <c r="AY95" s="280"/>
      <c r="AZ95" s="280"/>
      <c r="BA95" s="280"/>
      <c r="BB95" s="280"/>
      <c r="BC95" s="280"/>
      <c r="BD95" s="280"/>
      <c r="BE95" s="280"/>
      <c r="BF95" s="280"/>
      <c r="BG95" s="280"/>
      <c r="BH95" s="280"/>
      <c r="BI95" s="280"/>
      <c r="BJ95" s="280"/>
      <c r="BK95" s="280"/>
      <c r="BL95" s="280"/>
      <c r="BM95" s="280"/>
      <c r="BN95" s="280"/>
      <c r="BO95" s="280"/>
      <c r="BP95" s="280"/>
      <c r="BQ95" s="280"/>
      <c r="BR95" s="280"/>
      <c r="BS95" s="280"/>
      <c r="BT95" s="280"/>
      <c r="BU95" s="280"/>
      <c r="BV95" s="280"/>
      <c r="BW95" s="280"/>
      <c r="BX95" s="280"/>
      <c r="BY95" s="280"/>
      <c r="BZ95" s="280"/>
      <c r="CA95" s="280"/>
      <c r="CB95" s="280"/>
      <c r="CC95" s="280"/>
      <c r="CD95" s="280"/>
      <c r="CE95" s="280"/>
      <c r="CF95" s="280"/>
      <c r="CG95" s="280"/>
      <c r="CH95" s="280"/>
      <c r="CI95" s="280"/>
      <c r="CJ95" s="280"/>
      <c r="CK95" s="280"/>
      <c r="CL95" s="280"/>
      <c r="CM95" s="280"/>
      <c r="CN95" s="280"/>
      <c r="CO95" s="280"/>
      <c r="CP95" s="280"/>
      <c r="CQ95" s="280"/>
      <c r="CR95" s="280"/>
      <c r="CS95" s="280"/>
      <c r="CT95" s="281"/>
      <c r="CU95" s="281"/>
      <c r="CV95" s="281"/>
      <c r="CW95" s="281"/>
      <c r="CX95" s="281"/>
      <c r="CY95" s="281"/>
      <c r="CZ95" s="281"/>
      <c r="DA95" s="281"/>
      <c r="DB95" s="281"/>
      <c r="DC95" s="281"/>
      <c r="DD95" s="281"/>
      <c r="DE95" s="281"/>
      <c r="DF95" s="281"/>
      <c r="DG95" s="281"/>
    </row>
    <row r="96" spans="1:111" s="282" customFormat="1" ht="18" customHeight="1" hidden="1">
      <c r="A96" s="283">
        <v>4</v>
      </c>
      <c r="B96" s="284" t="s">
        <v>400</v>
      </c>
      <c r="C96" s="272"/>
      <c r="D96" s="272"/>
      <c r="E96" s="272"/>
      <c r="F96" s="272"/>
      <c r="G96" s="285">
        <v>464</v>
      </c>
      <c r="H96" s="273"/>
      <c r="I96" s="294">
        <f>156.326</f>
        <v>156.326</v>
      </c>
      <c r="J96" s="294"/>
      <c r="K96" s="294"/>
      <c r="L96" s="294"/>
      <c r="M96" s="294"/>
      <c r="N96" s="289"/>
      <c r="O96" s="289"/>
      <c r="P96" s="288"/>
      <c r="Q96" s="288"/>
      <c r="R96" s="289">
        <v>0</v>
      </c>
      <c r="S96" s="289">
        <v>0</v>
      </c>
      <c r="T96" s="289">
        <v>0</v>
      </c>
      <c r="U96" s="289">
        <v>0</v>
      </c>
      <c r="V96" s="289"/>
      <c r="W96" s="289"/>
      <c r="X96" s="291">
        <f t="shared" si="32"/>
        <v>0</v>
      </c>
      <c r="Y96" s="291">
        <f t="shared" si="32"/>
        <v>0</v>
      </c>
      <c r="Z96" s="291"/>
      <c r="AA96" s="305"/>
      <c r="AB96" s="305"/>
      <c r="AC96" s="305"/>
      <c r="AD96" s="305"/>
      <c r="AE96" s="305"/>
      <c r="AF96" s="305"/>
      <c r="AG96" s="305"/>
      <c r="AH96" s="305"/>
      <c r="AI96" s="305"/>
      <c r="AJ96" s="305"/>
      <c r="AK96" s="305"/>
      <c r="AL96" s="305"/>
      <c r="AM96" s="305"/>
      <c r="AN96" s="305"/>
      <c r="AO96" s="305"/>
      <c r="AP96" s="305"/>
      <c r="AQ96" s="307"/>
      <c r="AR96" s="305"/>
      <c r="AS96" s="280"/>
      <c r="AT96" s="280"/>
      <c r="AU96" s="280"/>
      <c r="AV96" s="280"/>
      <c r="AW96" s="280"/>
      <c r="AX96" s="280"/>
      <c r="AY96" s="280"/>
      <c r="AZ96" s="280"/>
      <c r="BA96" s="280"/>
      <c r="BB96" s="280"/>
      <c r="BC96" s="280"/>
      <c r="BD96" s="280"/>
      <c r="BE96" s="280"/>
      <c r="BF96" s="280"/>
      <c r="BG96" s="280"/>
      <c r="BH96" s="280"/>
      <c r="BI96" s="280"/>
      <c r="BJ96" s="280"/>
      <c r="BK96" s="280"/>
      <c r="BL96" s="280"/>
      <c r="BM96" s="280"/>
      <c r="BN96" s="280"/>
      <c r="BO96" s="280"/>
      <c r="BP96" s="280"/>
      <c r="BQ96" s="280"/>
      <c r="BR96" s="280"/>
      <c r="BS96" s="280"/>
      <c r="BT96" s="280"/>
      <c r="BU96" s="280"/>
      <c r="BV96" s="280"/>
      <c r="BW96" s="280"/>
      <c r="BX96" s="280"/>
      <c r="BY96" s="280"/>
      <c r="BZ96" s="280"/>
      <c r="CA96" s="280"/>
      <c r="CB96" s="280"/>
      <c r="CC96" s="280"/>
      <c r="CD96" s="280"/>
      <c r="CE96" s="280"/>
      <c r="CF96" s="280"/>
      <c r="CG96" s="280"/>
      <c r="CH96" s="280"/>
      <c r="CI96" s="280"/>
      <c r="CJ96" s="280"/>
      <c r="CK96" s="280"/>
      <c r="CL96" s="280"/>
      <c r="CM96" s="280"/>
      <c r="CN96" s="280"/>
      <c r="CO96" s="280"/>
      <c r="CP96" s="280"/>
      <c r="CQ96" s="280"/>
      <c r="CR96" s="280"/>
      <c r="CS96" s="280"/>
      <c r="CT96" s="281"/>
      <c r="CU96" s="281"/>
      <c r="CV96" s="281"/>
      <c r="CW96" s="281"/>
      <c r="CX96" s="281"/>
      <c r="CY96" s="281"/>
      <c r="CZ96" s="281"/>
      <c r="DA96" s="281"/>
      <c r="DB96" s="281"/>
      <c r="DC96" s="281"/>
      <c r="DD96" s="281"/>
      <c r="DE96" s="281"/>
      <c r="DF96" s="281"/>
      <c r="DG96" s="281"/>
    </row>
    <row r="97" spans="1:117" s="215" customFormat="1" ht="55.5" customHeight="1">
      <c r="A97" s="283">
        <v>13</v>
      </c>
      <c r="B97" s="284" t="s">
        <v>418</v>
      </c>
      <c r="C97" s="272" t="s">
        <v>448</v>
      </c>
      <c r="D97" s="272"/>
      <c r="E97" s="272"/>
      <c r="F97" s="272" t="s">
        <v>420</v>
      </c>
      <c r="G97" s="387">
        <f>SUM(G98:G104)</f>
        <v>10355.336000000001</v>
      </c>
      <c r="H97" s="387" t="s">
        <v>421</v>
      </c>
      <c r="I97" s="387">
        <f>SUM(I98:I104)</f>
        <v>10355.336000000001</v>
      </c>
      <c r="J97" s="387">
        <v>1000</v>
      </c>
      <c r="K97" s="387">
        <v>1000</v>
      </c>
      <c r="L97" s="387">
        <v>600</v>
      </c>
      <c r="M97" s="387"/>
      <c r="N97" s="387">
        <f aca="true" t="shared" si="33" ref="N97:AO97">SUM(N98:N104)</f>
        <v>5474.491999999998</v>
      </c>
      <c r="O97" s="387">
        <f t="shared" si="33"/>
        <v>4928.88</v>
      </c>
      <c r="P97" s="377">
        <v>600</v>
      </c>
      <c r="Q97" s="387">
        <f>J97+K97+L97+M97</f>
        <v>2600</v>
      </c>
      <c r="R97" s="341">
        <f t="shared" si="33"/>
        <v>0</v>
      </c>
      <c r="S97" s="341">
        <f t="shared" si="33"/>
        <v>0</v>
      </c>
      <c r="T97" s="341">
        <f t="shared" si="33"/>
        <v>0</v>
      </c>
      <c r="U97" s="341">
        <f t="shared" si="33"/>
        <v>0</v>
      </c>
      <c r="V97" s="341">
        <f t="shared" si="33"/>
        <v>0</v>
      </c>
      <c r="W97" s="377">
        <f t="shared" si="33"/>
        <v>305.733</v>
      </c>
      <c r="X97" s="341">
        <f t="shared" si="33"/>
        <v>0</v>
      </c>
      <c r="Y97" s="341">
        <f t="shared" si="33"/>
        <v>294.267</v>
      </c>
      <c r="Z97" s="341">
        <f t="shared" si="33"/>
        <v>0</v>
      </c>
      <c r="AA97" s="377">
        <f t="shared" si="33"/>
        <v>600</v>
      </c>
      <c r="AB97" s="387">
        <f t="shared" si="33"/>
        <v>11020.886</v>
      </c>
      <c r="AC97" s="387">
        <f t="shared" si="33"/>
        <v>5528.88</v>
      </c>
      <c r="AD97" s="387">
        <f t="shared" si="33"/>
        <v>0</v>
      </c>
      <c r="AE97" s="387">
        <f>AC97</f>
        <v>5528.88</v>
      </c>
      <c r="AF97" s="387">
        <f t="shared" si="33"/>
        <v>0</v>
      </c>
      <c r="AG97" s="387">
        <f t="shared" si="33"/>
        <v>0</v>
      </c>
      <c r="AH97" s="387">
        <f t="shared" si="33"/>
        <v>0</v>
      </c>
      <c r="AI97" s="387">
        <f t="shared" si="33"/>
        <v>0</v>
      </c>
      <c r="AJ97" s="387">
        <f t="shared" si="33"/>
        <v>0</v>
      </c>
      <c r="AK97" s="387">
        <f t="shared" si="33"/>
        <v>0</v>
      </c>
      <c r="AL97" s="387">
        <f t="shared" si="33"/>
        <v>0</v>
      </c>
      <c r="AM97" s="387">
        <f t="shared" si="33"/>
        <v>0</v>
      </c>
      <c r="AN97" s="387">
        <f t="shared" si="33"/>
        <v>0</v>
      </c>
      <c r="AO97" s="387">
        <f t="shared" si="33"/>
        <v>0</v>
      </c>
      <c r="AP97" s="387">
        <f>SUM(AP98:AP104)</f>
        <v>11020.886</v>
      </c>
      <c r="AQ97" s="286">
        <f>Q97</f>
        <v>2600</v>
      </c>
      <c r="AR97" s="272" t="s">
        <v>449</v>
      </c>
      <c r="AS97" s="213"/>
      <c r="AT97" s="237"/>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c r="CO97" s="213"/>
      <c r="CP97" s="213"/>
      <c r="CQ97" s="213"/>
      <c r="CR97" s="213"/>
      <c r="CS97" s="213"/>
      <c r="CT97" s="213"/>
      <c r="CU97" s="213"/>
      <c r="CV97" s="213"/>
      <c r="CW97" s="213"/>
      <c r="CX97" s="213"/>
      <c r="CY97" s="213"/>
      <c r="CZ97" s="214"/>
      <c r="DA97" s="214"/>
      <c r="DB97" s="214"/>
      <c r="DC97" s="214"/>
      <c r="DD97" s="214"/>
      <c r="DE97" s="214"/>
      <c r="DF97" s="214"/>
      <c r="DG97" s="214"/>
      <c r="DH97" s="214"/>
      <c r="DI97" s="214"/>
      <c r="DJ97" s="214"/>
      <c r="DK97" s="214"/>
      <c r="DL97" s="214"/>
      <c r="DM97" s="214"/>
    </row>
    <row r="98" spans="1:117" s="215" customFormat="1" ht="16.5" customHeight="1" hidden="1">
      <c r="A98" s="390">
        <v>1</v>
      </c>
      <c r="B98" s="284" t="s">
        <v>423</v>
      </c>
      <c r="C98" s="272"/>
      <c r="D98" s="272"/>
      <c r="E98" s="272"/>
      <c r="F98" s="272"/>
      <c r="G98" s="387">
        <v>6593.015</v>
      </c>
      <c r="H98" s="273"/>
      <c r="I98" s="387">
        <v>6593.015</v>
      </c>
      <c r="J98" s="387"/>
      <c r="K98" s="387"/>
      <c r="L98" s="387"/>
      <c r="M98" s="387"/>
      <c r="N98" s="344">
        <v>3863.0859999999993</v>
      </c>
      <c r="O98" s="292">
        <v>3619.504</v>
      </c>
      <c r="P98" s="289"/>
      <c r="Q98" s="276"/>
      <c r="R98" s="276"/>
      <c r="S98" s="276"/>
      <c r="T98" s="276"/>
      <c r="U98" s="276"/>
      <c r="V98" s="276"/>
      <c r="W98" s="276"/>
      <c r="X98" s="430"/>
      <c r="Y98" s="430"/>
      <c r="Z98" s="341">
        <f>R98+T98+V98+X98</f>
        <v>0</v>
      </c>
      <c r="AA98" s="341">
        <f>S98+U98+W98+Y98</f>
        <v>0</v>
      </c>
      <c r="AB98" s="391">
        <v>9019.18</v>
      </c>
      <c r="AC98" s="344">
        <f aca="true" t="shared" si="34" ref="AC98:AC104">O98+AA98</f>
        <v>3619.504</v>
      </c>
      <c r="AD98" s="363"/>
      <c r="AE98" s="363"/>
      <c r="AF98" s="363"/>
      <c r="AG98" s="363"/>
      <c r="AH98" s="363"/>
      <c r="AI98" s="363"/>
      <c r="AJ98" s="363"/>
      <c r="AK98" s="363"/>
      <c r="AL98" s="363"/>
      <c r="AM98" s="363"/>
      <c r="AN98" s="348">
        <f>AF98+AH98+AJ98+AL98</f>
        <v>0</v>
      </c>
      <c r="AO98" s="348">
        <f>AG98+AI98+AK98+AM98</f>
        <v>0</v>
      </c>
      <c r="AP98" s="386">
        <f aca="true" t="shared" si="35" ref="AP98:AQ104">AN98+AB98</f>
        <v>9019.18</v>
      </c>
      <c r="AQ98" s="293">
        <f t="shared" si="35"/>
        <v>3619.504</v>
      </c>
      <c r="AR98" s="27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c r="CO98" s="213"/>
      <c r="CP98" s="213"/>
      <c r="CQ98" s="213"/>
      <c r="CR98" s="213"/>
      <c r="CS98" s="213"/>
      <c r="CT98" s="213"/>
      <c r="CU98" s="213"/>
      <c r="CV98" s="213"/>
      <c r="CW98" s="213"/>
      <c r="CX98" s="213"/>
      <c r="CY98" s="213"/>
      <c r="CZ98" s="214"/>
      <c r="DA98" s="214"/>
      <c r="DB98" s="214"/>
      <c r="DC98" s="214"/>
      <c r="DD98" s="214"/>
      <c r="DE98" s="214"/>
      <c r="DF98" s="214"/>
      <c r="DG98" s="214"/>
      <c r="DH98" s="214"/>
      <c r="DI98" s="214"/>
      <c r="DJ98" s="214"/>
      <c r="DK98" s="214"/>
      <c r="DL98" s="214"/>
      <c r="DM98" s="214"/>
    </row>
    <row r="99" spans="1:117" s="215" customFormat="1" ht="34.5" customHeight="1" hidden="1">
      <c r="A99" s="390">
        <v>2</v>
      </c>
      <c r="B99" s="284" t="s">
        <v>424</v>
      </c>
      <c r="C99" s="272"/>
      <c r="D99" s="272"/>
      <c r="E99" s="272"/>
      <c r="F99" s="272"/>
      <c r="G99" s="387">
        <v>1559.625</v>
      </c>
      <c r="H99" s="273"/>
      <c r="I99" s="387">
        <v>1559.625</v>
      </c>
      <c r="J99" s="387"/>
      <c r="K99" s="387"/>
      <c r="L99" s="387"/>
      <c r="M99" s="387"/>
      <c r="N99" s="292">
        <v>974.56</v>
      </c>
      <c r="O99" s="289">
        <v>760</v>
      </c>
      <c r="P99" s="289"/>
      <c r="Q99" s="276"/>
      <c r="R99" s="276"/>
      <c r="S99" s="276"/>
      <c r="T99" s="339"/>
      <c r="U99" s="339"/>
      <c r="V99" s="276"/>
      <c r="W99" s="431">
        <f>180+125.733</f>
        <v>305.733</v>
      </c>
      <c r="X99" s="345"/>
      <c r="Y99" s="432">
        <v>294.267</v>
      </c>
      <c r="Z99" s="433">
        <f aca="true" t="shared" si="36" ref="Z99:AA104">R99+T99+V99+X99</f>
        <v>0</v>
      </c>
      <c r="AA99" s="341">
        <f t="shared" si="36"/>
        <v>600</v>
      </c>
      <c r="AB99" s="391">
        <v>1364.86</v>
      </c>
      <c r="AC99" s="290">
        <f t="shared" si="34"/>
        <v>1360</v>
      </c>
      <c r="AD99" s="363"/>
      <c r="AE99" s="363"/>
      <c r="AF99" s="363"/>
      <c r="AG99" s="363"/>
      <c r="AH99" s="363"/>
      <c r="AI99" s="363"/>
      <c r="AJ99" s="363"/>
      <c r="AK99" s="363"/>
      <c r="AL99" s="363"/>
      <c r="AM99" s="363"/>
      <c r="AN99" s="348">
        <f aca="true" t="shared" si="37" ref="AN99:AO104">AF99+AH99+AJ99+AL99</f>
        <v>0</v>
      </c>
      <c r="AO99" s="348">
        <f t="shared" si="37"/>
        <v>0</v>
      </c>
      <c r="AP99" s="386">
        <f t="shared" si="35"/>
        <v>1364.86</v>
      </c>
      <c r="AQ99" s="293">
        <f t="shared" si="35"/>
        <v>1360</v>
      </c>
      <c r="AR99" s="27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c r="CO99" s="213"/>
      <c r="CP99" s="213"/>
      <c r="CQ99" s="213"/>
      <c r="CR99" s="213"/>
      <c r="CS99" s="213"/>
      <c r="CT99" s="213"/>
      <c r="CU99" s="213"/>
      <c r="CV99" s="213"/>
      <c r="CW99" s="213"/>
      <c r="CX99" s="213"/>
      <c r="CY99" s="213"/>
      <c r="CZ99" s="214"/>
      <c r="DA99" s="214"/>
      <c r="DB99" s="214"/>
      <c r="DC99" s="214"/>
      <c r="DD99" s="214"/>
      <c r="DE99" s="214"/>
      <c r="DF99" s="214"/>
      <c r="DG99" s="214"/>
      <c r="DH99" s="214"/>
      <c r="DI99" s="214"/>
      <c r="DJ99" s="214"/>
      <c r="DK99" s="214"/>
      <c r="DL99" s="214"/>
      <c r="DM99" s="214"/>
    </row>
    <row r="100" spans="1:117" s="215" customFormat="1" ht="16.5" customHeight="1" hidden="1">
      <c r="A100" s="390">
        <v>3</v>
      </c>
      <c r="B100" s="284" t="s">
        <v>425</v>
      </c>
      <c r="C100" s="272"/>
      <c r="D100" s="272"/>
      <c r="E100" s="272"/>
      <c r="F100" s="272"/>
      <c r="G100" s="387">
        <v>213.696</v>
      </c>
      <c r="H100" s="273"/>
      <c r="I100" s="387">
        <v>213.696</v>
      </c>
      <c r="J100" s="387"/>
      <c r="K100" s="387"/>
      <c r="L100" s="387"/>
      <c r="M100" s="387"/>
      <c r="N100" s="434">
        <v>47.58699999999999</v>
      </c>
      <c r="O100" s="434">
        <v>47.58699999999999</v>
      </c>
      <c r="P100" s="289"/>
      <c r="Q100" s="276"/>
      <c r="R100" s="276"/>
      <c r="S100" s="276"/>
      <c r="T100" s="276"/>
      <c r="U100" s="276"/>
      <c r="V100" s="276"/>
      <c r="W100" s="276"/>
      <c r="X100" s="430"/>
      <c r="Y100" s="430"/>
      <c r="Z100" s="341">
        <f t="shared" si="36"/>
        <v>0</v>
      </c>
      <c r="AA100" s="341">
        <f t="shared" si="36"/>
        <v>0</v>
      </c>
      <c r="AB100" s="344">
        <v>47.58699999999999</v>
      </c>
      <c r="AC100" s="344">
        <f t="shared" si="34"/>
        <v>47.58699999999999</v>
      </c>
      <c r="AD100" s="363"/>
      <c r="AE100" s="363"/>
      <c r="AF100" s="363"/>
      <c r="AG100" s="363"/>
      <c r="AH100" s="363"/>
      <c r="AI100" s="363"/>
      <c r="AJ100" s="363"/>
      <c r="AK100" s="363"/>
      <c r="AL100" s="363"/>
      <c r="AM100" s="363"/>
      <c r="AN100" s="348">
        <f t="shared" si="37"/>
        <v>0</v>
      </c>
      <c r="AO100" s="348">
        <f t="shared" si="37"/>
        <v>0</v>
      </c>
      <c r="AP100" s="386">
        <f t="shared" si="35"/>
        <v>47.58699999999999</v>
      </c>
      <c r="AQ100" s="293">
        <f t="shared" si="35"/>
        <v>47.58699999999999</v>
      </c>
      <c r="AR100" s="27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c r="CO100" s="213"/>
      <c r="CP100" s="213"/>
      <c r="CQ100" s="213"/>
      <c r="CR100" s="213"/>
      <c r="CS100" s="213"/>
      <c r="CT100" s="213"/>
      <c r="CU100" s="213"/>
      <c r="CV100" s="213"/>
      <c r="CW100" s="213"/>
      <c r="CX100" s="213"/>
      <c r="CY100" s="213"/>
      <c r="CZ100" s="214"/>
      <c r="DA100" s="214"/>
      <c r="DB100" s="214"/>
      <c r="DC100" s="214"/>
      <c r="DD100" s="214"/>
      <c r="DE100" s="214"/>
      <c r="DF100" s="214"/>
      <c r="DG100" s="214"/>
      <c r="DH100" s="214"/>
      <c r="DI100" s="214"/>
      <c r="DJ100" s="214"/>
      <c r="DK100" s="214"/>
      <c r="DL100" s="214"/>
      <c r="DM100" s="214"/>
    </row>
    <row r="101" spans="1:117" s="215" customFormat="1" ht="16.5" customHeight="1" hidden="1">
      <c r="A101" s="390">
        <v>4</v>
      </c>
      <c r="B101" s="284" t="s">
        <v>409</v>
      </c>
      <c r="C101" s="272"/>
      <c r="D101" s="272"/>
      <c r="E101" s="272"/>
      <c r="F101" s="272"/>
      <c r="G101" s="387">
        <v>695.114</v>
      </c>
      <c r="H101" s="273"/>
      <c r="I101" s="387">
        <v>695.114</v>
      </c>
      <c r="J101" s="387"/>
      <c r="K101" s="387"/>
      <c r="L101" s="387"/>
      <c r="M101" s="387"/>
      <c r="N101" s="287">
        <v>556.35</v>
      </c>
      <c r="O101" s="287">
        <v>468.88</v>
      </c>
      <c r="P101" s="289"/>
      <c r="Q101" s="276"/>
      <c r="R101" s="276"/>
      <c r="S101" s="276"/>
      <c r="T101" s="276"/>
      <c r="U101" s="276"/>
      <c r="V101" s="276"/>
      <c r="W101" s="276"/>
      <c r="X101" s="430"/>
      <c r="Y101" s="430"/>
      <c r="Z101" s="341">
        <f t="shared" si="36"/>
        <v>0</v>
      </c>
      <c r="AA101" s="341">
        <f t="shared" si="36"/>
        <v>0</v>
      </c>
      <c r="AB101" s="292">
        <v>556.35</v>
      </c>
      <c r="AC101" s="292">
        <f t="shared" si="34"/>
        <v>468.88</v>
      </c>
      <c r="AD101" s="363"/>
      <c r="AE101" s="363"/>
      <c r="AF101" s="363"/>
      <c r="AG101" s="363"/>
      <c r="AH101" s="363"/>
      <c r="AI101" s="363"/>
      <c r="AJ101" s="363"/>
      <c r="AK101" s="363"/>
      <c r="AL101" s="363"/>
      <c r="AM101" s="363"/>
      <c r="AN101" s="348">
        <f t="shared" si="37"/>
        <v>0</v>
      </c>
      <c r="AO101" s="348">
        <f t="shared" si="37"/>
        <v>0</v>
      </c>
      <c r="AP101" s="386">
        <f t="shared" si="35"/>
        <v>556.35</v>
      </c>
      <c r="AQ101" s="293">
        <f t="shared" si="35"/>
        <v>468.88</v>
      </c>
      <c r="AR101" s="27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c r="CO101" s="213"/>
      <c r="CP101" s="213"/>
      <c r="CQ101" s="213"/>
      <c r="CR101" s="213"/>
      <c r="CS101" s="213"/>
      <c r="CT101" s="213"/>
      <c r="CU101" s="213"/>
      <c r="CV101" s="213"/>
      <c r="CW101" s="213"/>
      <c r="CX101" s="213"/>
      <c r="CY101" s="213"/>
      <c r="CZ101" s="214"/>
      <c r="DA101" s="214"/>
      <c r="DB101" s="214"/>
      <c r="DC101" s="214"/>
      <c r="DD101" s="214"/>
      <c r="DE101" s="214"/>
      <c r="DF101" s="214"/>
      <c r="DG101" s="214"/>
      <c r="DH101" s="214"/>
      <c r="DI101" s="214"/>
      <c r="DJ101" s="214"/>
      <c r="DK101" s="214"/>
      <c r="DL101" s="214"/>
      <c r="DM101" s="214"/>
    </row>
    <row r="102" spans="1:117" s="215" customFormat="1" ht="29.25" customHeight="1" hidden="1">
      <c r="A102" s="390">
        <v>5</v>
      </c>
      <c r="B102" s="284" t="s">
        <v>426</v>
      </c>
      <c r="C102" s="272"/>
      <c r="D102" s="272"/>
      <c r="E102" s="272"/>
      <c r="F102" s="272"/>
      <c r="G102" s="387">
        <v>300</v>
      </c>
      <c r="H102" s="273"/>
      <c r="I102" s="387">
        <v>360</v>
      </c>
      <c r="J102" s="387"/>
      <c r="K102" s="387"/>
      <c r="L102" s="387"/>
      <c r="M102" s="387"/>
      <c r="N102" s="287"/>
      <c r="O102" s="289"/>
      <c r="P102" s="289"/>
      <c r="Q102" s="276"/>
      <c r="R102" s="276"/>
      <c r="S102" s="276"/>
      <c r="T102" s="276"/>
      <c r="U102" s="276"/>
      <c r="V102" s="276"/>
      <c r="W102" s="276"/>
      <c r="X102" s="345"/>
      <c r="Y102" s="345"/>
      <c r="Z102" s="341">
        <f t="shared" si="36"/>
        <v>0</v>
      </c>
      <c r="AA102" s="341">
        <f t="shared" si="36"/>
        <v>0</v>
      </c>
      <c r="AB102" s="341">
        <v>0</v>
      </c>
      <c r="AC102" s="341">
        <f t="shared" si="34"/>
        <v>0</v>
      </c>
      <c r="AD102" s="363"/>
      <c r="AE102" s="363"/>
      <c r="AF102" s="363"/>
      <c r="AG102" s="363"/>
      <c r="AH102" s="363"/>
      <c r="AI102" s="363"/>
      <c r="AJ102" s="363"/>
      <c r="AK102" s="363"/>
      <c r="AL102" s="363"/>
      <c r="AM102" s="363"/>
      <c r="AN102" s="348">
        <f t="shared" si="37"/>
        <v>0</v>
      </c>
      <c r="AO102" s="348">
        <f t="shared" si="37"/>
        <v>0</v>
      </c>
      <c r="AP102" s="386">
        <f t="shared" si="35"/>
        <v>0</v>
      </c>
      <c r="AQ102" s="293">
        <f t="shared" si="35"/>
        <v>0</v>
      </c>
      <c r="AR102" s="27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c r="CO102" s="213"/>
      <c r="CP102" s="213"/>
      <c r="CQ102" s="213"/>
      <c r="CR102" s="213"/>
      <c r="CS102" s="213"/>
      <c r="CT102" s="213"/>
      <c r="CU102" s="213"/>
      <c r="CV102" s="213"/>
      <c r="CW102" s="213"/>
      <c r="CX102" s="213"/>
      <c r="CY102" s="213"/>
      <c r="CZ102" s="214"/>
      <c r="DA102" s="214"/>
      <c r="DB102" s="214"/>
      <c r="DC102" s="214"/>
      <c r="DD102" s="214"/>
      <c r="DE102" s="214"/>
      <c r="DF102" s="214"/>
      <c r="DG102" s="214"/>
      <c r="DH102" s="214"/>
      <c r="DI102" s="214"/>
      <c r="DJ102" s="214"/>
      <c r="DK102" s="214"/>
      <c r="DL102" s="214"/>
      <c r="DM102" s="214"/>
    </row>
    <row r="103" spans="1:117" s="215" customFormat="1" ht="16.5" customHeight="1" hidden="1">
      <c r="A103" s="390">
        <v>6</v>
      </c>
      <c r="B103" s="284" t="s">
        <v>399</v>
      </c>
      <c r="C103" s="272"/>
      <c r="D103" s="272"/>
      <c r="E103" s="272"/>
      <c r="F103" s="272"/>
      <c r="G103" s="387">
        <v>52.492</v>
      </c>
      <c r="H103" s="273"/>
      <c r="I103" s="387">
        <v>52.492</v>
      </c>
      <c r="J103" s="387"/>
      <c r="K103" s="387"/>
      <c r="L103" s="387"/>
      <c r="M103" s="387"/>
      <c r="N103" s="344">
        <f>28.777+4.132</f>
        <v>32.909</v>
      </c>
      <c r="O103" s="344">
        <v>32.909</v>
      </c>
      <c r="P103" s="289"/>
      <c r="Q103" s="276"/>
      <c r="R103" s="276"/>
      <c r="S103" s="276"/>
      <c r="T103" s="276"/>
      <c r="U103" s="276"/>
      <c r="V103" s="276"/>
      <c r="W103" s="276"/>
      <c r="X103" s="430"/>
      <c r="Y103" s="430"/>
      <c r="Z103" s="341">
        <f t="shared" si="36"/>
        <v>0</v>
      </c>
      <c r="AA103" s="341">
        <f t="shared" si="36"/>
        <v>0</v>
      </c>
      <c r="AB103" s="433">
        <v>32.909</v>
      </c>
      <c r="AC103" s="433">
        <f t="shared" si="34"/>
        <v>32.909</v>
      </c>
      <c r="AD103" s="363"/>
      <c r="AE103" s="363"/>
      <c r="AF103" s="363"/>
      <c r="AG103" s="363"/>
      <c r="AH103" s="363"/>
      <c r="AI103" s="363"/>
      <c r="AJ103" s="363"/>
      <c r="AK103" s="363"/>
      <c r="AL103" s="363"/>
      <c r="AM103" s="363"/>
      <c r="AN103" s="348">
        <f t="shared" si="37"/>
        <v>0</v>
      </c>
      <c r="AO103" s="348">
        <f t="shared" si="37"/>
        <v>0</v>
      </c>
      <c r="AP103" s="386">
        <f t="shared" si="35"/>
        <v>32.909</v>
      </c>
      <c r="AQ103" s="293">
        <f t="shared" si="35"/>
        <v>32.909</v>
      </c>
      <c r="AR103" s="27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c r="CO103" s="213"/>
      <c r="CP103" s="213"/>
      <c r="CQ103" s="213"/>
      <c r="CR103" s="213"/>
      <c r="CS103" s="213"/>
      <c r="CT103" s="213"/>
      <c r="CU103" s="213"/>
      <c r="CV103" s="213"/>
      <c r="CW103" s="213"/>
      <c r="CX103" s="213"/>
      <c r="CY103" s="213"/>
      <c r="CZ103" s="214"/>
      <c r="DA103" s="214"/>
      <c r="DB103" s="214"/>
      <c r="DC103" s="214"/>
      <c r="DD103" s="214"/>
      <c r="DE103" s="214"/>
      <c r="DF103" s="214"/>
      <c r="DG103" s="214"/>
      <c r="DH103" s="214"/>
      <c r="DI103" s="214"/>
      <c r="DJ103" s="214"/>
      <c r="DK103" s="214"/>
      <c r="DL103" s="214"/>
      <c r="DM103" s="214"/>
    </row>
    <row r="104" spans="1:117" s="215" customFormat="1" ht="16.5" customHeight="1" hidden="1">
      <c r="A104" s="390">
        <v>7</v>
      </c>
      <c r="B104" s="284" t="s">
        <v>417</v>
      </c>
      <c r="C104" s="272"/>
      <c r="D104" s="272"/>
      <c r="E104" s="272"/>
      <c r="F104" s="272"/>
      <c r="G104" s="387">
        <f>941.394</f>
        <v>941.394</v>
      </c>
      <c r="H104" s="273"/>
      <c r="I104" s="387">
        <v>881.394</v>
      </c>
      <c r="J104" s="387"/>
      <c r="K104" s="387"/>
      <c r="L104" s="387"/>
      <c r="M104" s="387"/>
      <c r="N104" s="289"/>
      <c r="O104" s="289"/>
      <c r="P104" s="289"/>
      <c r="Q104" s="393"/>
      <c r="R104" s="393"/>
      <c r="S104" s="393"/>
      <c r="T104" s="393"/>
      <c r="U104" s="394"/>
      <c r="V104" s="394"/>
      <c r="W104" s="394"/>
      <c r="X104" s="345"/>
      <c r="Y104" s="345"/>
      <c r="Z104" s="341">
        <f t="shared" si="36"/>
        <v>0</v>
      </c>
      <c r="AA104" s="341">
        <f t="shared" si="36"/>
        <v>0</v>
      </c>
      <c r="AB104" s="341">
        <v>0</v>
      </c>
      <c r="AC104" s="341">
        <f t="shared" si="34"/>
        <v>0</v>
      </c>
      <c r="AD104" s="363"/>
      <c r="AE104" s="363"/>
      <c r="AF104" s="363"/>
      <c r="AG104" s="363"/>
      <c r="AH104" s="363"/>
      <c r="AI104" s="363"/>
      <c r="AJ104" s="363"/>
      <c r="AK104" s="363"/>
      <c r="AL104" s="363"/>
      <c r="AM104" s="363"/>
      <c r="AN104" s="348">
        <f t="shared" si="37"/>
        <v>0</v>
      </c>
      <c r="AO104" s="348">
        <f t="shared" si="37"/>
        <v>0</v>
      </c>
      <c r="AP104" s="386">
        <f t="shared" si="35"/>
        <v>0</v>
      </c>
      <c r="AQ104" s="293">
        <f t="shared" si="35"/>
        <v>0</v>
      </c>
      <c r="AR104" s="27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c r="CO104" s="213"/>
      <c r="CP104" s="213"/>
      <c r="CQ104" s="213"/>
      <c r="CR104" s="213"/>
      <c r="CS104" s="213"/>
      <c r="CT104" s="213"/>
      <c r="CU104" s="213"/>
      <c r="CV104" s="213"/>
      <c r="CW104" s="213"/>
      <c r="CX104" s="213"/>
      <c r="CY104" s="213"/>
      <c r="CZ104" s="214"/>
      <c r="DA104" s="214"/>
      <c r="DB104" s="214"/>
      <c r="DC104" s="214"/>
      <c r="DD104" s="214"/>
      <c r="DE104" s="214"/>
      <c r="DF104" s="214"/>
      <c r="DG104" s="214"/>
      <c r="DH104" s="214"/>
      <c r="DI104" s="214"/>
      <c r="DJ104" s="214"/>
      <c r="DK104" s="214"/>
      <c r="DL104" s="214"/>
      <c r="DM104" s="214"/>
    </row>
    <row r="105" spans="1:117" s="215" customFormat="1" ht="57" customHeight="1">
      <c r="A105" s="283">
        <v>14</v>
      </c>
      <c r="B105" s="284" t="s">
        <v>450</v>
      </c>
      <c r="C105" s="272" t="s">
        <v>451</v>
      </c>
      <c r="D105" s="272"/>
      <c r="E105" s="272" t="s">
        <v>452</v>
      </c>
      <c r="F105" s="272" t="s">
        <v>453</v>
      </c>
      <c r="G105" s="388">
        <f>SUM(G106:G116)</f>
        <v>3411.0000000000005</v>
      </c>
      <c r="H105" s="273"/>
      <c r="I105" s="389"/>
      <c r="J105" s="389"/>
      <c r="K105" s="389"/>
      <c r="L105" s="389">
        <v>1000</v>
      </c>
      <c r="M105" s="389"/>
      <c r="N105" s="387"/>
      <c r="O105" s="387"/>
      <c r="P105" s="435">
        <v>1000</v>
      </c>
      <c r="Q105" s="339">
        <f>P105</f>
        <v>1000</v>
      </c>
      <c r="R105" s="387">
        <f>SUM(R106:R116)</f>
        <v>906.0625859999999</v>
      </c>
      <c r="S105" s="387">
        <f>SUM(S106:S116)</f>
        <v>1000.0005859999999</v>
      </c>
      <c r="T105" s="387">
        <f aca="true" t="shared" si="38" ref="T105:Z105">SUM(T106:T116)</f>
        <v>190</v>
      </c>
      <c r="U105" s="387">
        <f t="shared" si="38"/>
        <v>0</v>
      </c>
      <c r="V105" s="387">
        <f t="shared" si="38"/>
        <v>0</v>
      </c>
      <c r="W105" s="387">
        <f t="shared" si="38"/>
        <v>0</v>
      </c>
      <c r="X105" s="387">
        <f t="shared" si="38"/>
        <v>0</v>
      </c>
      <c r="Y105" s="387">
        <f t="shared" si="38"/>
        <v>0</v>
      </c>
      <c r="Z105" s="387">
        <f t="shared" si="38"/>
        <v>1096.062586</v>
      </c>
      <c r="AA105" s="377">
        <f>SUM(AA106:AA116)</f>
        <v>1000.0005859999999</v>
      </c>
      <c r="AB105" s="387">
        <f>SUM(AB106:AB116)</f>
        <v>1312.673586</v>
      </c>
      <c r="AC105" s="387">
        <f>SUM(AC106:AC116)</f>
        <v>1000.0005859999999</v>
      </c>
      <c r="AD105" s="387">
        <f aca="true" t="shared" si="39" ref="AD105:AQ105">SUM(AD106:AD116)</f>
        <v>0</v>
      </c>
      <c r="AE105" s="387">
        <f>AC105</f>
        <v>1000.0005859999999</v>
      </c>
      <c r="AF105" s="387">
        <f t="shared" si="39"/>
        <v>1698.473</v>
      </c>
      <c r="AG105" s="387">
        <f t="shared" si="39"/>
        <v>0</v>
      </c>
      <c r="AH105" s="387">
        <f t="shared" si="39"/>
        <v>0</v>
      </c>
      <c r="AI105" s="387">
        <f t="shared" si="39"/>
        <v>0</v>
      </c>
      <c r="AJ105" s="387">
        <f t="shared" si="39"/>
        <v>0</v>
      </c>
      <c r="AK105" s="387">
        <f t="shared" si="39"/>
        <v>0</v>
      </c>
      <c r="AL105" s="387">
        <f t="shared" si="39"/>
        <v>0</v>
      </c>
      <c r="AM105" s="387">
        <f t="shared" si="39"/>
        <v>0</v>
      </c>
      <c r="AN105" s="387">
        <f t="shared" si="39"/>
        <v>1698.473</v>
      </c>
      <c r="AO105" s="387">
        <f t="shared" si="39"/>
        <v>0</v>
      </c>
      <c r="AP105" s="387">
        <f>SUM(AP106:AP116)</f>
        <v>3011.146586</v>
      </c>
      <c r="AQ105" s="294">
        <f t="shared" si="39"/>
        <v>1000.0005859999999</v>
      </c>
      <c r="AR105" s="272" t="s">
        <v>422</v>
      </c>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4"/>
      <c r="DA105" s="214"/>
      <c r="DB105" s="214"/>
      <c r="DC105" s="214"/>
      <c r="DD105" s="214"/>
      <c r="DE105" s="214"/>
      <c r="DF105" s="214"/>
      <c r="DG105" s="214"/>
      <c r="DH105" s="214"/>
      <c r="DI105" s="214"/>
      <c r="DJ105" s="214"/>
      <c r="DK105" s="214"/>
      <c r="DL105" s="214"/>
      <c r="DM105" s="214"/>
    </row>
    <row r="106" spans="1:117" s="215" customFormat="1" ht="12.75" hidden="1">
      <c r="A106" s="283">
        <v>1</v>
      </c>
      <c r="B106" s="394" t="s">
        <v>406</v>
      </c>
      <c r="C106" s="272"/>
      <c r="D106" s="272"/>
      <c r="E106" s="272"/>
      <c r="F106" s="272"/>
      <c r="G106" s="436">
        <v>2598.666587</v>
      </c>
      <c r="H106" s="273"/>
      <c r="I106" s="387"/>
      <c r="J106" s="387"/>
      <c r="K106" s="387"/>
      <c r="L106" s="387"/>
      <c r="M106" s="387"/>
      <c r="N106" s="387"/>
      <c r="O106" s="387"/>
      <c r="P106" s="437"/>
      <c r="Q106" s="276"/>
      <c r="R106" s="387">
        <v>620.835</v>
      </c>
      <c r="S106" s="438">
        <v>848.057</v>
      </c>
      <c r="T106" s="377">
        <v>190</v>
      </c>
      <c r="U106" s="439"/>
      <c r="V106" s="286"/>
      <c r="W106" s="286"/>
      <c r="X106" s="430"/>
      <c r="Y106" s="430"/>
      <c r="Z106" s="440">
        <f>R106+T106+V106+X106</f>
        <v>810.835</v>
      </c>
      <c r="AA106" s="336">
        <f>S106+U106+W106+Y106</f>
        <v>848.057</v>
      </c>
      <c r="AB106" s="370">
        <v>967.819</v>
      </c>
      <c r="AC106" s="287">
        <f>AA106</f>
        <v>848.057</v>
      </c>
      <c r="AD106" s="385"/>
      <c r="AE106" s="363"/>
      <c r="AF106" s="379">
        <f>2598-AB106</f>
        <v>1630.181</v>
      </c>
      <c r="AG106" s="363"/>
      <c r="AH106" s="363"/>
      <c r="AI106" s="363"/>
      <c r="AJ106" s="363"/>
      <c r="AK106" s="363"/>
      <c r="AL106" s="363"/>
      <c r="AM106" s="363"/>
      <c r="AN106" s="348">
        <f>AF106+AH106+AJ106+AL106</f>
        <v>1630.181</v>
      </c>
      <c r="AO106" s="348">
        <f>AG106+AI106+AK106+AM106</f>
        <v>0</v>
      </c>
      <c r="AP106" s="349">
        <f aca="true" t="shared" si="40" ref="AP106:AP116">AN106+AB106</f>
        <v>2598</v>
      </c>
      <c r="AQ106" s="350">
        <f aca="true" t="shared" si="41" ref="AQ106:AQ116">AO106+AC106</f>
        <v>848.057</v>
      </c>
      <c r="AR106" s="272"/>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4"/>
      <c r="DA106" s="214"/>
      <c r="DB106" s="214"/>
      <c r="DC106" s="214"/>
      <c r="DD106" s="214"/>
      <c r="DE106" s="214"/>
      <c r="DF106" s="214"/>
      <c r="DG106" s="214"/>
      <c r="DH106" s="214"/>
      <c r="DI106" s="214"/>
      <c r="DJ106" s="214"/>
      <c r="DK106" s="214"/>
      <c r="DL106" s="214"/>
      <c r="DM106" s="214"/>
    </row>
    <row r="107" spans="1:117" s="215" customFormat="1" ht="12.75" hidden="1">
      <c r="A107" s="283">
        <v>2</v>
      </c>
      <c r="B107" s="394" t="s">
        <v>454</v>
      </c>
      <c r="C107" s="272"/>
      <c r="D107" s="272"/>
      <c r="E107" s="272"/>
      <c r="F107" s="272"/>
      <c r="G107" s="436">
        <v>265.273684</v>
      </c>
      <c r="H107" s="273"/>
      <c r="I107" s="387"/>
      <c r="J107" s="387"/>
      <c r="K107" s="387"/>
      <c r="L107" s="387"/>
      <c r="M107" s="387"/>
      <c r="N107" s="387"/>
      <c r="O107" s="387"/>
      <c r="P107" s="437"/>
      <c r="Q107" s="276"/>
      <c r="R107" s="387">
        <f>155.651+16.07+93.551</f>
        <v>265.272</v>
      </c>
      <c r="S107" s="389">
        <f>R107*50%</f>
        <v>132.636</v>
      </c>
      <c r="T107" s="286"/>
      <c r="U107" s="286"/>
      <c r="V107" s="286"/>
      <c r="W107" s="286"/>
      <c r="X107" s="430"/>
      <c r="Y107" s="430"/>
      <c r="Z107" s="441">
        <f aca="true" t="shared" si="42" ref="Z107:AA116">R107+T107+V107+X107</f>
        <v>265.272</v>
      </c>
      <c r="AA107" s="336">
        <f t="shared" si="42"/>
        <v>132.636</v>
      </c>
      <c r="AB107" s="287">
        <f aca="true" t="shared" si="43" ref="AB107:AC122">Z107</f>
        <v>265.272</v>
      </c>
      <c r="AC107" s="287">
        <f t="shared" si="43"/>
        <v>132.636</v>
      </c>
      <c r="AD107" s="385"/>
      <c r="AE107" s="363"/>
      <c r="AF107" s="363"/>
      <c r="AG107" s="363"/>
      <c r="AH107" s="363"/>
      <c r="AI107" s="363"/>
      <c r="AJ107" s="363"/>
      <c r="AK107" s="363"/>
      <c r="AL107" s="363"/>
      <c r="AM107" s="363"/>
      <c r="AN107" s="348">
        <f aca="true" t="shared" si="44" ref="AN107:AO116">AF107+AH107+AJ107+AL107</f>
        <v>0</v>
      </c>
      <c r="AO107" s="348">
        <f t="shared" si="44"/>
        <v>0</v>
      </c>
      <c r="AP107" s="349">
        <f t="shared" si="40"/>
        <v>265.272</v>
      </c>
      <c r="AQ107" s="350">
        <f t="shared" si="41"/>
        <v>132.636</v>
      </c>
      <c r="AR107" s="272"/>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c r="CO107" s="213"/>
      <c r="CP107" s="213"/>
      <c r="CQ107" s="213"/>
      <c r="CR107" s="213"/>
      <c r="CS107" s="213"/>
      <c r="CT107" s="213"/>
      <c r="CU107" s="213"/>
      <c r="CV107" s="213"/>
      <c r="CW107" s="213"/>
      <c r="CX107" s="213"/>
      <c r="CY107" s="213"/>
      <c r="CZ107" s="214"/>
      <c r="DA107" s="214"/>
      <c r="DB107" s="214"/>
      <c r="DC107" s="214"/>
      <c r="DD107" s="214"/>
      <c r="DE107" s="214"/>
      <c r="DF107" s="214"/>
      <c r="DG107" s="214"/>
      <c r="DH107" s="214"/>
      <c r="DI107" s="214"/>
      <c r="DJ107" s="214"/>
      <c r="DK107" s="214"/>
      <c r="DL107" s="214"/>
      <c r="DM107" s="214"/>
    </row>
    <row r="108" spans="1:117" s="215" customFormat="1" ht="22.5" hidden="1">
      <c r="A108" s="283">
        <v>3</v>
      </c>
      <c r="B108" s="442" t="s">
        <v>455</v>
      </c>
      <c r="C108" s="272"/>
      <c r="D108" s="272"/>
      <c r="E108" s="272"/>
      <c r="F108" s="272"/>
      <c r="G108" s="436">
        <v>69.878976</v>
      </c>
      <c r="H108" s="273"/>
      <c r="I108" s="387"/>
      <c r="J108" s="387"/>
      <c r="K108" s="387"/>
      <c r="L108" s="387"/>
      <c r="M108" s="387"/>
      <c r="N108" s="387"/>
      <c r="O108" s="387"/>
      <c r="P108" s="437"/>
      <c r="Q108" s="276"/>
      <c r="R108" s="387"/>
      <c r="S108" s="387"/>
      <c r="T108" s="286"/>
      <c r="U108" s="286"/>
      <c r="V108" s="286"/>
      <c r="W108" s="286"/>
      <c r="X108" s="430"/>
      <c r="Y108" s="430"/>
      <c r="Z108" s="441">
        <f t="shared" si="42"/>
        <v>0</v>
      </c>
      <c r="AA108" s="337">
        <f t="shared" si="42"/>
        <v>0</v>
      </c>
      <c r="AB108" s="443">
        <f t="shared" si="43"/>
        <v>0</v>
      </c>
      <c r="AC108" s="435">
        <f t="shared" si="43"/>
        <v>0</v>
      </c>
      <c r="AD108" s="385"/>
      <c r="AE108" s="363"/>
      <c r="AF108" s="363"/>
      <c r="AG108" s="363"/>
      <c r="AH108" s="363"/>
      <c r="AI108" s="363"/>
      <c r="AJ108" s="363"/>
      <c r="AK108" s="363"/>
      <c r="AL108" s="363"/>
      <c r="AM108" s="363"/>
      <c r="AN108" s="348">
        <f t="shared" si="44"/>
        <v>0</v>
      </c>
      <c r="AO108" s="348">
        <f t="shared" si="44"/>
        <v>0</v>
      </c>
      <c r="AP108" s="349">
        <f t="shared" si="40"/>
        <v>0</v>
      </c>
      <c r="AQ108" s="350">
        <f t="shared" si="41"/>
        <v>0</v>
      </c>
      <c r="AR108" s="272"/>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c r="CP108" s="213"/>
      <c r="CQ108" s="213"/>
      <c r="CR108" s="213"/>
      <c r="CS108" s="213"/>
      <c r="CT108" s="213"/>
      <c r="CU108" s="213"/>
      <c r="CV108" s="213"/>
      <c r="CW108" s="213"/>
      <c r="CX108" s="213"/>
      <c r="CY108" s="213"/>
      <c r="CZ108" s="214"/>
      <c r="DA108" s="214"/>
      <c r="DB108" s="214"/>
      <c r="DC108" s="214"/>
      <c r="DD108" s="214"/>
      <c r="DE108" s="214"/>
      <c r="DF108" s="214"/>
      <c r="DG108" s="214"/>
      <c r="DH108" s="214"/>
      <c r="DI108" s="214"/>
      <c r="DJ108" s="214"/>
      <c r="DK108" s="214"/>
      <c r="DL108" s="214"/>
      <c r="DM108" s="214"/>
    </row>
    <row r="109" spans="1:117" s="215" customFormat="1" ht="12.75" hidden="1">
      <c r="A109" s="283">
        <v>4</v>
      </c>
      <c r="B109" s="394" t="s">
        <v>456</v>
      </c>
      <c r="C109" s="272"/>
      <c r="D109" s="272"/>
      <c r="E109" s="272"/>
      <c r="F109" s="272"/>
      <c r="G109" s="436">
        <v>10.550586</v>
      </c>
      <c r="H109" s="273"/>
      <c r="I109" s="387"/>
      <c r="J109" s="387"/>
      <c r="K109" s="387"/>
      <c r="L109" s="387"/>
      <c r="M109" s="387"/>
      <c r="N109" s="387"/>
      <c r="O109" s="387"/>
      <c r="P109" s="437"/>
      <c r="Q109" s="276"/>
      <c r="R109" s="444">
        <v>10.550586</v>
      </c>
      <c r="S109" s="444">
        <f>R109</f>
        <v>10.550586</v>
      </c>
      <c r="T109" s="286"/>
      <c r="U109" s="286"/>
      <c r="V109" s="286"/>
      <c r="W109" s="286"/>
      <c r="X109" s="430"/>
      <c r="Y109" s="430"/>
      <c r="Z109" s="441">
        <f t="shared" si="42"/>
        <v>10.550586</v>
      </c>
      <c r="AA109" s="336">
        <f t="shared" si="42"/>
        <v>10.550586</v>
      </c>
      <c r="AB109" s="287">
        <f t="shared" si="43"/>
        <v>10.550586</v>
      </c>
      <c r="AC109" s="287">
        <f t="shared" si="43"/>
        <v>10.550586</v>
      </c>
      <c r="AD109" s="385"/>
      <c r="AE109" s="363"/>
      <c r="AF109" s="363"/>
      <c r="AG109" s="363"/>
      <c r="AH109" s="363"/>
      <c r="AI109" s="363"/>
      <c r="AJ109" s="363"/>
      <c r="AK109" s="363"/>
      <c r="AL109" s="363"/>
      <c r="AM109" s="363"/>
      <c r="AN109" s="348">
        <f t="shared" si="44"/>
        <v>0</v>
      </c>
      <c r="AO109" s="348">
        <f t="shared" si="44"/>
        <v>0</v>
      </c>
      <c r="AP109" s="349">
        <f t="shared" si="40"/>
        <v>10.550586</v>
      </c>
      <c r="AQ109" s="350">
        <f t="shared" si="41"/>
        <v>10.550586</v>
      </c>
      <c r="AR109" s="272"/>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c r="CO109" s="213"/>
      <c r="CP109" s="213"/>
      <c r="CQ109" s="213"/>
      <c r="CR109" s="213"/>
      <c r="CS109" s="213"/>
      <c r="CT109" s="213"/>
      <c r="CU109" s="213"/>
      <c r="CV109" s="213"/>
      <c r="CW109" s="213"/>
      <c r="CX109" s="213"/>
      <c r="CY109" s="213"/>
      <c r="CZ109" s="214"/>
      <c r="DA109" s="214"/>
      <c r="DB109" s="214"/>
      <c r="DC109" s="214"/>
      <c r="DD109" s="214"/>
      <c r="DE109" s="214"/>
      <c r="DF109" s="214"/>
      <c r="DG109" s="214"/>
      <c r="DH109" s="214"/>
      <c r="DI109" s="214"/>
      <c r="DJ109" s="214"/>
      <c r="DK109" s="214"/>
      <c r="DL109" s="214"/>
      <c r="DM109" s="214"/>
    </row>
    <row r="110" spans="1:117" s="215" customFormat="1" ht="12.75" hidden="1">
      <c r="A110" s="283">
        <v>5</v>
      </c>
      <c r="B110" s="394" t="s">
        <v>457</v>
      </c>
      <c r="C110" s="272"/>
      <c r="D110" s="272"/>
      <c r="E110" s="272"/>
      <c r="F110" s="272"/>
      <c r="G110" s="436">
        <v>68.292958</v>
      </c>
      <c r="H110" s="273"/>
      <c r="I110" s="387"/>
      <c r="J110" s="387"/>
      <c r="K110" s="387"/>
      <c r="L110" s="387"/>
      <c r="M110" s="387"/>
      <c r="N110" s="387"/>
      <c r="O110" s="387"/>
      <c r="P110" s="437"/>
      <c r="Q110" s="276"/>
      <c r="R110" s="387"/>
      <c r="S110" s="387"/>
      <c r="T110" s="286"/>
      <c r="U110" s="286"/>
      <c r="V110" s="286"/>
      <c r="W110" s="286"/>
      <c r="X110" s="430"/>
      <c r="Y110" s="430"/>
      <c r="Z110" s="441">
        <f t="shared" si="42"/>
        <v>0</v>
      </c>
      <c r="AA110" s="337">
        <f t="shared" si="42"/>
        <v>0</v>
      </c>
      <c r="AB110" s="443">
        <f t="shared" si="43"/>
        <v>0</v>
      </c>
      <c r="AC110" s="435">
        <f t="shared" si="43"/>
        <v>0</v>
      </c>
      <c r="AD110" s="385"/>
      <c r="AE110" s="363"/>
      <c r="AF110" s="363">
        <v>68.292</v>
      </c>
      <c r="AG110" s="363"/>
      <c r="AH110" s="363"/>
      <c r="AI110" s="363"/>
      <c r="AJ110" s="363"/>
      <c r="AK110" s="363"/>
      <c r="AL110" s="363"/>
      <c r="AM110" s="363"/>
      <c r="AN110" s="348">
        <f t="shared" si="44"/>
        <v>68.292</v>
      </c>
      <c r="AO110" s="348">
        <f t="shared" si="44"/>
        <v>0</v>
      </c>
      <c r="AP110" s="349">
        <f t="shared" si="40"/>
        <v>68.292</v>
      </c>
      <c r="AQ110" s="350">
        <f t="shared" si="41"/>
        <v>0</v>
      </c>
      <c r="AR110" s="272"/>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c r="CO110" s="213"/>
      <c r="CP110" s="213"/>
      <c r="CQ110" s="213"/>
      <c r="CR110" s="213"/>
      <c r="CS110" s="213"/>
      <c r="CT110" s="213"/>
      <c r="CU110" s="213"/>
      <c r="CV110" s="213"/>
      <c r="CW110" s="213"/>
      <c r="CX110" s="213"/>
      <c r="CY110" s="213"/>
      <c r="CZ110" s="214"/>
      <c r="DA110" s="214"/>
      <c r="DB110" s="214"/>
      <c r="DC110" s="214"/>
      <c r="DD110" s="214"/>
      <c r="DE110" s="214"/>
      <c r="DF110" s="214"/>
      <c r="DG110" s="214"/>
      <c r="DH110" s="214"/>
      <c r="DI110" s="214"/>
      <c r="DJ110" s="214"/>
      <c r="DK110" s="214"/>
      <c r="DL110" s="214"/>
      <c r="DM110" s="214"/>
    </row>
    <row r="111" spans="1:117" s="215" customFormat="1" ht="12.75" hidden="1">
      <c r="A111" s="283">
        <v>6</v>
      </c>
      <c r="B111" s="442" t="s">
        <v>458</v>
      </c>
      <c r="C111" s="272"/>
      <c r="D111" s="272"/>
      <c r="E111" s="272"/>
      <c r="F111" s="272"/>
      <c r="G111" s="436">
        <v>6.2368</v>
      </c>
      <c r="H111" s="273"/>
      <c r="I111" s="387"/>
      <c r="J111" s="387"/>
      <c r="K111" s="387"/>
      <c r="L111" s="387"/>
      <c r="M111" s="387"/>
      <c r="N111" s="387"/>
      <c r="O111" s="387"/>
      <c r="P111" s="437"/>
      <c r="Q111" s="276"/>
      <c r="R111" s="387"/>
      <c r="S111" s="387"/>
      <c r="T111" s="286"/>
      <c r="U111" s="286"/>
      <c r="V111" s="286"/>
      <c r="W111" s="286"/>
      <c r="X111" s="430"/>
      <c r="Y111" s="430"/>
      <c r="Z111" s="441">
        <f t="shared" si="42"/>
        <v>0</v>
      </c>
      <c r="AA111" s="440">
        <f t="shared" si="42"/>
        <v>0</v>
      </c>
      <c r="AB111" s="443">
        <f t="shared" si="43"/>
        <v>0</v>
      </c>
      <c r="AC111" s="443">
        <f t="shared" si="43"/>
        <v>0</v>
      </c>
      <c r="AD111" s="385"/>
      <c r="AE111" s="363"/>
      <c r="AF111" s="363"/>
      <c r="AG111" s="363"/>
      <c r="AH111" s="363"/>
      <c r="AI111" s="363"/>
      <c r="AJ111" s="363"/>
      <c r="AK111" s="363"/>
      <c r="AL111" s="363"/>
      <c r="AM111" s="363"/>
      <c r="AN111" s="348">
        <f t="shared" si="44"/>
        <v>0</v>
      </c>
      <c r="AO111" s="348">
        <f t="shared" si="44"/>
        <v>0</v>
      </c>
      <c r="AP111" s="349">
        <f t="shared" si="40"/>
        <v>0</v>
      </c>
      <c r="AQ111" s="350">
        <f t="shared" si="41"/>
        <v>0</v>
      </c>
      <c r="AR111" s="272"/>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c r="CO111" s="213"/>
      <c r="CP111" s="213"/>
      <c r="CQ111" s="213"/>
      <c r="CR111" s="213"/>
      <c r="CS111" s="213"/>
      <c r="CT111" s="213"/>
      <c r="CU111" s="213"/>
      <c r="CV111" s="213"/>
      <c r="CW111" s="213"/>
      <c r="CX111" s="213"/>
      <c r="CY111" s="213"/>
      <c r="CZ111" s="214"/>
      <c r="DA111" s="214"/>
      <c r="DB111" s="214"/>
      <c r="DC111" s="214"/>
      <c r="DD111" s="214"/>
      <c r="DE111" s="214"/>
      <c r="DF111" s="214"/>
      <c r="DG111" s="214"/>
      <c r="DH111" s="214"/>
      <c r="DI111" s="214"/>
      <c r="DJ111" s="214"/>
      <c r="DK111" s="214"/>
      <c r="DL111" s="214"/>
      <c r="DM111" s="214"/>
    </row>
    <row r="112" spans="1:117" s="215" customFormat="1" ht="22.5" hidden="1">
      <c r="A112" s="283">
        <v>7</v>
      </c>
      <c r="B112" s="442" t="s">
        <v>459</v>
      </c>
      <c r="C112" s="272"/>
      <c r="D112" s="272"/>
      <c r="E112" s="272"/>
      <c r="F112" s="272"/>
      <c r="G112" s="436">
        <v>8.757506</v>
      </c>
      <c r="H112" s="273"/>
      <c r="I112" s="387"/>
      <c r="J112" s="387"/>
      <c r="K112" s="387"/>
      <c r="L112" s="387"/>
      <c r="M112" s="387"/>
      <c r="N112" s="387"/>
      <c r="O112" s="387"/>
      <c r="P112" s="437"/>
      <c r="Q112" s="276"/>
      <c r="R112" s="387">
        <v>8.757</v>
      </c>
      <c r="S112" s="389">
        <f>R112</f>
        <v>8.757</v>
      </c>
      <c r="T112" s="286"/>
      <c r="U112" s="286"/>
      <c r="V112" s="286"/>
      <c r="W112" s="286"/>
      <c r="X112" s="430"/>
      <c r="Y112" s="430"/>
      <c r="Z112" s="441">
        <f t="shared" si="42"/>
        <v>8.757</v>
      </c>
      <c r="AA112" s="336">
        <f t="shared" si="42"/>
        <v>8.757</v>
      </c>
      <c r="AB112" s="344">
        <f t="shared" si="43"/>
        <v>8.757</v>
      </c>
      <c r="AC112" s="445">
        <f t="shared" si="43"/>
        <v>8.757</v>
      </c>
      <c r="AD112" s="385"/>
      <c r="AE112" s="363"/>
      <c r="AF112" s="363"/>
      <c r="AG112" s="363"/>
      <c r="AH112" s="363"/>
      <c r="AI112" s="363"/>
      <c r="AJ112" s="363"/>
      <c r="AK112" s="363"/>
      <c r="AL112" s="363"/>
      <c r="AM112" s="363"/>
      <c r="AN112" s="348">
        <f t="shared" si="44"/>
        <v>0</v>
      </c>
      <c r="AO112" s="348">
        <f t="shared" si="44"/>
        <v>0</v>
      </c>
      <c r="AP112" s="349">
        <f t="shared" si="40"/>
        <v>8.757</v>
      </c>
      <c r="AQ112" s="350">
        <f t="shared" si="41"/>
        <v>8.757</v>
      </c>
      <c r="AR112" s="272"/>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c r="CO112" s="213"/>
      <c r="CP112" s="213"/>
      <c r="CQ112" s="213"/>
      <c r="CR112" s="213"/>
      <c r="CS112" s="213"/>
      <c r="CT112" s="213"/>
      <c r="CU112" s="213"/>
      <c r="CV112" s="213"/>
      <c r="CW112" s="213"/>
      <c r="CX112" s="213"/>
      <c r="CY112" s="213"/>
      <c r="CZ112" s="214"/>
      <c r="DA112" s="214"/>
      <c r="DB112" s="214"/>
      <c r="DC112" s="214"/>
      <c r="DD112" s="214"/>
      <c r="DE112" s="214"/>
      <c r="DF112" s="214"/>
      <c r="DG112" s="214"/>
      <c r="DH112" s="214"/>
      <c r="DI112" s="214"/>
      <c r="DJ112" s="214"/>
      <c r="DK112" s="214"/>
      <c r="DL112" s="214"/>
      <c r="DM112" s="214"/>
    </row>
    <row r="113" spans="1:117" s="215" customFormat="1" ht="12.75" hidden="1">
      <c r="A113" s="283">
        <v>8</v>
      </c>
      <c r="B113" s="393" t="s">
        <v>408</v>
      </c>
      <c r="C113" s="272"/>
      <c r="D113" s="272"/>
      <c r="E113" s="272"/>
      <c r="F113" s="272"/>
      <c r="G113" s="436">
        <v>59.627586</v>
      </c>
      <c r="H113" s="273"/>
      <c r="I113" s="387"/>
      <c r="J113" s="387"/>
      <c r="K113" s="387"/>
      <c r="L113" s="387"/>
      <c r="M113" s="387"/>
      <c r="N113" s="387"/>
      <c r="O113" s="387"/>
      <c r="P113" s="437"/>
      <c r="Q113" s="276"/>
      <c r="R113" s="387"/>
      <c r="S113" s="387"/>
      <c r="T113" s="286"/>
      <c r="U113" s="286"/>
      <c r="V113" s="286"/>
      <c r="W113" s="286"/>
      <c r="X113" s="430"/>
      <c r="Y113" s="430"/>
      <c r="Z113" s="441">
        <f t="shared" si="42"/>
        <v>0</v>
      </c>
      <c r="AA113" s="440">
        <f t="shared" si="42"/>
        <v>0</v>
      </c>
      <c r="AB113" s="443">
        <v>59.627</v>
      </c>
      <c r="AC113" s="443">
        <f t="shared" si="43"/>
        <v>0</v>
      </c>
      <c r="AD113" s="385"/>
      <c r="AE113" s="363"/>
      <c r="AF113" s="363"/>
      <c r="AG113" s="363"/>
      <c r="AH113" s="363"/>
      <c r="AI113" s="363"/>
      <c r="AJ113" s="363"/>
      <c r="AK113" s="363"/>
      <c r="AL113" s="363"/>
      <c r="AM113" s="363"/>
      <c r="AN113" s="348">
        <f t="shared" si="44"/>
        <v>0</v>
      </c>
      <c r="AO113" s="348">
        <f t="shared" si="44"/>
        <v>0</v>
      </c>
      <c r="AP113" s="349">
        <f t="shared" si="40"/>
        <v>59.627</v>
      </c>
      <c r="AQ113" s="350">
        <f t="shared" si="41"/>
        <v>0</v>
      </c>
      <c r="AR113" s="272"/>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c r="CO113" s="213"/>
      <c r="CP113" s="213"/>
      <c r="CQ113" s="213"/>
      <c r="CR113" s="213"/>
      <c r="CS113" s="213"/>
      <c r="CT113" s="213"/>
      <c r="CU113" s="213"/>
      <c r="CV113" s="213"/>
      <c r="CW113" s="213"/>
      <c r="CX113" s="213"/>
      <c r="CY113" s="213"/>
      <c r="CZ113" s="214"/>
      <c r="DA113" s="214"/>
      <c r="DB113" s="214"/>
      <c r="DC113" s="214"/>
      <c r="DD113" s="214"/>
      <c r="DE113" s="214"/>
      <c r="DF113" s="214"/>
      <c r="DG113" s="214"/>
      <c r="DH113" s="214"/>
      <c r="DI113" s="214"/>
      <c r="DJ113" s="214"/>
      <c r="DK113" s="214"/>
      <c r="DL113" s="214"/>
      <c r="DM113" s="214"/>
    </row>
    <row r="114" spans="1:117" s="215" customFormat="1" ht="12.75" hidden="1">
      <c r="A114" s="283">
        <v>9</v>
      </c>
      <c r="B114" s="393" t="s">
        <v>460</v>
      </c>
      <c r="C114" s="272"/>
      <c r="D114" s="272"/>
      <c r="E114" s="272"/>
      <c r="F114" s="272"/>
      <c r="G114" s="436">
        <v>0.64809</v>
      </c>
      <c r="H114" s="273"/>
      <c r="I114" s="387"/>
      <c r="J114" s="387"/>
      <c r="K114" s="387"/>
      <c r="L114" s="387"/>
      <c r="M114" s="387"/>
      <c r="N114" s="387"/>
      <c r="O114" s="387"/>
      <c r="P114" s="437"/>
      <c r="Q114" s="276"/>
      <c r="R114" s="387">
        <v>0.648</v>
      </c>
      <c r="S114" s="387"/>
      <c r="T114" s="286"/>
      <c r="U114" s="286"/>
      <c r="V114" s="286"/>
      <c r="W114" s="286"/>
      <c r="X114" s="430"/>
      <c r="Y114" s="430"/>
      <c r="Z114" s="441">
        <f t="shared" si="42"/>
        <v>0.648</v>
      </c>
      <c r="AA114" s="440">
        <f t="shared" si="42"/>
        <v>0</v>
      </c>
      <c r="AB114" s="344">
        <f t="shared" si="43"/>
        <v>0.648</v>
      </c>
      <c r="AC114" s="443">
        <f t="shared" si="43"/>
        <v>0</v>
      </c>
      <c r="AD114" s="385"/>
      <c r="AE114" s="363"/>
      <c r="AF114" s="363"/>
      <c r="AG114" s="363"/>
      <c r="AH114" s="363"/>
      <c r="AI114" s="363"/>
      <c r="AJ114" s="363"/>
      <c r="AK114" s="363"/>
      <c r="AL114" s="363"/>
      <c r="AM114" s="363"/>
      <c r="AN114" s="348">
        <f t="shared" si="44"/>
        <v>0</v>
      </c>
      <c r="AO114" s="348">
        <f t="shared" si="44"/>
        <v>0</v>
      </c>
      <c r="AP114" s="349">
        <f t="shared" si="40"/>
        <v>0.648</v>
      </c>
      <c r="AQ114" s="350">
        <f t="shared" si="41"/>
        <v>0</v>
      </c>
      <c r="AR114" s="272"/>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c r="CO114" s="213"/>
      <c r="CP114" s="213"/>
      <c r="CQ114" s="213"/>
      <c r="CR114" s="213"/>
      <c r="CS114" s="213"/>
      <c r="CT114" s="213"/>
      <c r="CU114" s="213"/>
      <c r="CV114" s="213"/>
      <c r="CW114" s="213"/>
      <c r="CX114" s="213"/>
      <c r="CY114" s="213"/>
      <c r="CZ114" s="214"/>
      <c r="DA114" s="214"/>
      <c r="DB114" s="214"/>
      <c r="DC114" s="214"/>
      <c r="DD114" s="214"/>
      <c r="DE114" s="214"/>
      <c r="DF114" s="214"/>
      <c r="DG114" s="214"/>
      <c r="DH114" s="214"/>
      <c r="DI114" s="214"/>
      <c r="DJ114" s="214"/>
      <c r="DK114" s="214"/>
      <c r="DL114" s="214"/>
      <c r="DM114" s="214"/>
    </row>
    <row r="115" spans="1:117" s="215" customFormat="1" ht="12.75" hidden="1">
      <c r="A115" s="283">
        <v>10</v>
      </c>
      <c r="B115" s="393" t="s">
        <v>461</v>
      </c>
      <c r="C115" s="272"/>
      <c r="D115" s="272"/>
      <c r="E115" s="272"/>
      <c r="F115" s="272"/>
      <c r="G115" s="436">
        <v>12.9618</v>
      </c>
      <c r="H115" s="273"/>
      <c r="I115" s="387"/>
      <c r="J115" s="387"/>
      <c r="K115" s="387"/>
      <c r="L115" s="387"/>
      <c r="M115" s="387"/>
      <c r="N115" s="387"/>
      <c r="O115" s="387"/>
      <c r="P115" s="437"/>
      <c r="Q115" s="276"/>
      <c r="R115" s="387"/>
      <c r="S115" s="387"/>
      <c r="T115" s="286"/>
      <c r="U115" s="286"/>
      <c r="V115" s="286"/>
      <c r="W115" s="286"/>
      <c r="X115" s="430"/>
      <c r="Y115" s="430"/>
      <c r="Z115" s="441">
        <f t="shared" si="42"/>
        <v>0</v>
      </c>
      <c r="AA115" s="440">
        <f t="shared" si="42"/>
        <v>0</v>
      </c>
      <c r="AB115" s="443">
        <f t="shared" si="43"/>
        <v>0</v>
      </c>
      <c r="AC115" s="443">
        <f t="shared" si="43"/>
        <v>0</v>
      </c>
      <c r="AD115" s="385"/>
      <c r="AE115" s="363">
        <v>12.961</v>
      </c>
      <c r="AF115" s="363"/>
      <c r="AG115" s="363"/>
      <c r="AH115" s="363"/>
      <c r="AI115" s="363"/>
      <c r="AJ115" s="363"/>
      <c r="AK115" s="363"/>
      <c r="AL115" s="363"/>
      <c r="AM115" s="363"/>
      <c r="AN115" s="348">
        <f t="shared" si="44"/>
        <v>0</v>
      </c>
      <c r="AO115" s="348">
        <f t="shared" si="44"/>
        <v>0</v>
      </c>
      <c r="AP115" s="349">
        <f t="shared" si="40"/>
        <v>0</v>
      </c>
      <c r="AQ115" s="350">
        <f t="shared" si="41"/>
        <v>0</v>
      </c>
      <c r="AR115" s="272"/>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c r="CO115" s="213"/>
      <c r="CP115" s="213"/>
      <c r="CQ115" s="213"/>
      <c r="CR115" s="213"/>
      <c r="CS115" s="213"/>
      <c r="CT115" s="213"/>
      <c r="CU115" s="213"/>
      <c r="CV115" s="213"/>
      <c r="CW115" s="213"/>
      <c r="CX115" s="213"/>
      <c r="CY115" s="213"/>
      <c r="CZ115" s="214"/>
      <c r="DA115" s="214"/>
      <c r="DB115" s="214"/>
      <c r="DC115" s="214"/>
      <c r="DD115" s="214"/>
      <c r="DE115" s="214"/>
      <c r="DF115" s="214"/>
      <c r="DG115" s="214"/>
      <c r="DH115" s="214"/>
      <c r="DI115" s="214"/>
      <c r="DJ115" s="214"/>
      <c r="DK115" s="214"/>
      <c r="DL115" s="214"/>
      <c r="DM115" s="214"/>
    </row>
    <row r="116" spans="1:117" s="215" customFormat="1" ht="12.75" hidden="1">
      <c r="A116" s="283">
        <v>11</v>
      </c>
      <c r="B116" s="393" t="s">
        <v>417</v>
      </c>
      <c r="C116" s="272"/>
      <c r="D116" s="272"/>
      <c r="E116" s="272"/>
      <c r="F116" s="272"/>
      <c r="G116" s="436">
        <v>310.105427</v>
      </c>
      <c r="H116" s="273"/>
      <c r="I116" s="387"/>
      <c r="J116" s="387"/>
      <c r="K116" s="387"/>
      <c r="L116" s="387"/>
      <c r="M116" s="387"/>
      <c r="N116" s="387"/>
      <c r="O116" s="387"/>
      <c r="P116" s="437"/>
      <c r="Q116" s="276"/>
      <c r="R116" s="387"/>
      <c r="S116" s="387"/>
      <c r="T116" s="286"/>
      <c r="U116" s="286"/>
      <c r="V116" s="286"/>
      <c r="W116" s="286"/>
      <c r="X116" s="430"/>
      <c r="Y116" s="430"/>
      <c r="Z116" s="441">
        <f t="shared" si="42"/>
        <v>0</v>
      </c>
      <c r="AA116" s="440">
        <f t="shared" si="42"/>
        <v>0</v>
      </c>
      <c r="AB116" s="443">
        <f t="shared" si="43"/>
        <v>0</v>
      </c>
      <c r="AC116" s="443">
        <f t="shared" si="43"/>
        <v>0</v>
      </c>
      <c r="AD116" s="385"/>
      <c r="AE116" s="363"/>
      <c r="AF116" s="363"/>
      <c r="AG116" s="363"/>
      <c r="AH116" s="363"/>
      <c r="AI116" s="363"/>
      <c r="AJ116" s="363"/>
      <c r="AK116" s="363"/>
      <c r="AL116" s="363"/>
      <c r="AM116" s="363"/>
      <c r="AN116" s="348">
        <f t="shared" si="44"/>
        <v>0</v>
      </c>
      <c r="AO116" s="348">
        <f t="shared" si="44"/>
        <v>0</v>
      </c>
      <c r="AP116" s="349">
        <f t="shared" si="40"/>
        <v>0</v>
      </c>
      <c r="AQ116" s="350">
        <f t="shared" si="41"/>
        <v>0</v>
      </c>
      <c r="AR116" s="272"/>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c r="CO116" s="213"/>
      <c r="CP116" s="213"/>
      <c r="CQ116" s="213"/>
      <c r="CR116" s="213"/>
      <c r="CS116" s="213"/>
      <c r="CT116" s="213"/>
      <c r="CU116" s="213"/>
      <c r="CV116" s="213"/>
      <c r="CW116" s="213"/>
      <c r="CX116" s="213"/>
      <c r="CY116" s="213"/>
      <c r="CZ116" s="214"/>
      <c r="DA116" s="214"/>
      <c r="DB116" s="214"/>
      <c r="DC116" s="214"/>
      <c r="DD116" s="214"/>
      <c r="DE116" s="214"/>
      <c r="DF116" s="214"/>
      <c r="DG116" s="214"/>
      <c r="DH116" s="214"/>
      <c r="DI116" s="214"/>
      <c r="DJ116" s="214"/>
      <c r="DK116" s="214"/>
      <c r="DL116" s="214"/>
      <c r="DM116" s="214"/>
    </row>
    <row r="117" spans="1:117" s="215" customFormat="1" ht="55.5" customHeight="1">
      <c r="A117" s="283">
        <v>14</v>
      </c>
      <c r="B117" s="284" t="s">
        <v>462</v>
      </c>
      <c r="C117" s="272" t="s">
        <v>463</v>
      </c>
      <c r="D117" s="272"/>
      <c r="E117" s="272" t="s">
        <v>464</v>
      </c>
      <c r="F117" s="272" t="s">
        <v>465</v>
      </c>
      <c r="G117" s="388">
        <f>SUM(G118:G128)</f>
        <v>4075.000001</v>
      </c>
      <c r="H117" s="273"/>
      <c r="I117" s="387"/>
      <c r="J117" s="387"/>
      <c r="K117" s="387"/>
      <c r="L117" s="387">
        <v>1800</v>
      </c>
      <c r="M117" s="387">
        <v>200</v>
      </c>
      <c r="N117" s="387"/>
      <c r="O117" s="387"/>
      <c r="P117" s="435">
        <f>1000+800</f>
        <v>1800</v>
      </c>
      <c r="Q117" s="339">
        <f>J117+K117+L117+M117</f>
        <v>2000</v>
      </c>
      <c r="R117" s="387">
        <f>SUM(R118:R128)</f>
        <v>914.610689</v>
      </c>
      <c r="S117" s="377">
        <f>SUM(S118:S128)</f>
        <v>1000</v>
      </c>
      <c r="T117" s="377">
        <f aca="true" t="shared" si="45" ref="T117:Z117">SUM(T118:T128)</f>
        <v>200</v>
      </c>
      <c r="U117" s="377">
        <f t="shared" si="45"/>
        <v>0</v>
      </c>
      <c r="V117" s="387">
        <f t="shared" si="45"/>
        <v>872.362</v>
      </c>
      <c r="W117" s="377">
        <f t="shared" si="45"/>
        <v>0</v>
      </c>
      <c r="X117" s="377">
        <f t="shared" si="45"/>
        <v>0</v>
      </c>
      <c r="Y117" s="377">
        <f t="shared" si="45"/>
        <v>800.002</v>
      </c>
      <c r="Z117" s="387">
        <f t="shared" si="45"/>
        <v>1986.9726889999997</v>
      </c>
      <c r="AA117" s="377">
        <f>SUM(AA118:AA128)</f>
        <v>1800.0020000000002</v>
      </c>
      <c r="AB117" s="387">
        <f>SUM(AB118:AB128)</f>
        <v>1986.9726889999997</v>
      </c>
      <c r="AC117" s="377">
        <f>SUM(AC118:AC128)</f>
        <v>1800.0020000000002</v>
      </c>
      <c r="AD117" s="377">
        <v>200</v>
      </c>
      <c r="AE117" s="377">
        <f>AD117+AC117</f>
        <v>2000.0020000000002</v>
      </c>
      <c r="AF117" s="377">
        <f aca="true" t="shared" si="46" ref="AF117:AQ117">SUM(AF118:AF128)</f>
        <v>0</v>
      </c>
      <c r="AG117" s="377">
        <f t="shared" si="46"/>
        <v>0</v>
      </c>
      <c r="AH117" s="377">
        <f t="shared" si="46"/>
        <v>306.117</v>
      </c>
      <c r="AI117" s="377">
        <f t="shared" si="46"/>
        <v>200</v>
      </c>
      <c r="AJ117" s="377">
        <f t="shared" si="46"/>
        <v>0</v>
      </c>
      <c r="AK117" s="377">
        <f t="shared" si="46"/>
        <v>0</v>
      </c>
      <c r="AL117" s="377">
        <f t="shared" si="46"/>
        <v>0</v>
      </c>
      <c r="AM117" s="377">
        <f t="shared" si="46"/>
        <v>0</v>
      </c>
      <c r="AN117" s="446">
        <f t="shared" si="46"/>
        <v>306.117</v>
      </c>
      <c r="AO117" s="377">
        <f t="shared" si="46"/>
        <v>200</v>
      </c>
      <c r="AP117" s="377">
        <f>SUM(AP118:AP128)</f>
        <v>2293.089689</v>
      </c>
      <c r="AQ117" s="294">
        <f t="shared" si="46"/>
        <v>2000.0020000000002</v>
      </c>
      <c r="AR117" s="272" t="s">
        <v>466</v>
      </c>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c r="CO117" s="213"/>
      <c r="CP117" s="213"/>
      <c r="CQ117" s="213"/>
      <c r="CR117" s="213"/>
      <c r="CS117" s="213"/>
      <c r="CT117" s="213"/>
      <c r="CU117" s="213"/>
      <c r="CV117" s="213"/>
      <c r="CW117" s="213"/>
      <c r="CX117" s="213"/>
      <c r="CY117" s="213"/>
      <c r="CZ117" s="214"/>
      <c r="DA117" s="214"/>
      <c r="DB117" s="214"/>
      <c r="DC117" s="214"/>
      <c r="DD117" s="214"/>
      <c r="DE117" s="214"/>
      <c r="DF117" s="214"/>
      <c r="DG117" s="214"/>
      <c r="DH117" s="214"/>
      <c r="DI117" s="214"/>
      <c r="DJ117" s="214"/>
      <c r="DK117" s="214"/>
      <c r="DL117" s="214"/>
      <c r="DM117" s="214"/>
    </row>
    <row r="118" spans="1:117" s="215" customFormat="1" ht="12.75" hidden="1">
      <c r="A118" s="283">
        <v>1</v>
      </c>
      <c r="B118" s="394" t="s">
        <v>406</v>
      </c>
      <c r="C118" s="272"/>
      <c r="D118" s="272"/>
      <c r="E118" s="272"/>
      <c r="F118" s="272"/>
      <c r="G118" s="436">
        <v>3153.666838</v>
      </c>
      <c r="H118" s="273"/>
      <c r="I118" s="387"/>
      <c r="J118" s="387"/>
      <c r="K118" s="387"/>
      <c r="L118" s="387"/>
      <c r="M118" s="387"/>
      <c r="N118" s="387"/>
      <c r="O118" s="387"/>
      <c r="P118" s="437"/>
      <c r="Q118" s="276"/>
      <c r="R118" s="387">
        <v>591.521</v>
      </c>
      <c r="S118" s="387">
        <v>827.129</v>
      </c>
      <c r="T118" s="377">
        <v>200</v>
      </c>
      <c r="U118" s="377"/>
      <c r="V118" s="387">
        <v>800</v>
      </c>
      <c r="W118" s="387"/>
      <c r="X118" s="430"/>
      <c r="Y118" s="432">
        <v>727.64</v>
      </c>
      <c r="Z118" s="447">
        <f>R118+T118+V118+X118</f>
        <v>1591.521</v>
      </c>
      <c r="AA118" s="336">
        <f>S118+U118+W118+Y118</f>
        <v>1554.769</v>
      </c>
      <c r="AB118" s="445">
        <f>Z118</f>
        <v>1591.521</v>
      </c>
      <c r="AC118" s="287">
        <f>AA118</f>
        <v>1554.769</v>
      </c>
      <c r="AD118" s="385"/>
      <c r="AE118" s="363"/>
      <c r="AF118" s="363"/>
      <c r="AG118" s="363"/>
      <c r="AH118" s="383">
        <v>306.117</v>
      </c>
      <c r="AI118" s="363">
        <v>200</v>
      </c>
      <c r="AJ118" s="363"/>
      <c r="AK118" s="363"/>
      <c r="AL118" s="363"/>
      <c r="AM118" s="363"/>
      <c r="AN118" s="353">
        <f>AF118+AH118+AJ118+AL118</f>
        <v>306.117</v>
      </c>
      <c r="AO118" s="348">
        <f>AG118+AI118+AK118+AM118</f>
        <v>200</v>
      </c>
      <c r="AP118" s="349">
        <f aca="true" t="shared" si="47" ref="AP118:AP128">AN118+AB118</f>
        <v>1897.638</v>
      </c>
      <c r="AQ118" s="350">
        <f aca="true" t="shared" si="48" ref="AQ118:AQ128">AO118+AC118</f>
        <v>1754.769</v>
      </c>
      <c r="AR118" s="272"/>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c r="CO118" s="213"/>
      <c r="CP118" s="213"/>
      <c r="CQ118" s="213"/>
      <c r="CR118" s="213"/>
      <c r="CS118" s="213"/>
      <c r="CT118" s="213"/>
      <c r="CU118" s="213"/>
      <c r="CV118" s="213"/>
      <c r="CW118" s="213"/>
      <c r="CX118" s="213"/>
      <c r="CY118" s="213"/>
      <c r="CZ118" s="214"/>
      <c r="DA118" s="214"/>
      <c r="DB118" s="214"/>
      <c r="DC118" s="214"/>
      <c r="DD118" s="214"/>
      <c r="DE118" s="214"/>
      <c r="DF118" s="214"/>
      <c r="DG118" s="214"/>
      <c r="DH118" s="214"/>
      <c r="DI118" s="214"/>
      <c r="DJ118" s="214"/>
      <c r="DK118" s="214"/>
      <c r="DL118" s="214"/>
      <c r="DM118" s="214"/>
    </row>
    <row r="119" spans="1:117" s="215" customFormat="1" ht="12.75" hidden="1">
      <c r="A119" s="283">
        <v>2</v>
      </c>
      <c r="B119" s="394" t="s">
        <v>454</v>
      </c>
      <c r="C119" s="272"/>
      <c r="D119" s="272"/>
      <c r="E119" s="272"/>
      <c r="F119" s="272"/>
      <c r="G119" s="436">
        <v>298.883694</v>
      </c>
      <c r="H119" s="273"/>
      <c r="I119" s="387"/>
      <c r="J119" s="387"/>
      <c r="K119" s="387"/>
      <c r="L119" s="387"/>
      <c r="M119" s="387"/>
      <c r="N119" s="387"/>
      <c r="O119" s="387"/>
      <c r="P119" s="437"/>
      <c r="Q119" s="276"/>
      <c r="R119" s="387">
        <f>38.351687+147+113.532007</f>
        <v>298.883694</v>
      </c>
      <c r="S119" s="387">
        <v>149.441</v>
      </c>
      <c r="T119" s="387"/>
      <c r="U119" s="387"/>
      <c r="V119" s="387"/>
      <c r="W119" s="387"/>
      <c r="X119" s="430"/>
      <c r="Y119" s="432"/>
      <c r="Z119" s="441">
        <f aca="true" t="shared" si="49" ref="Z119:AA128">R119+T119+V119+X119</f>
        <v>298.883694</v>
      </c>
      <c r="AA119" s="336">
        <f t="shared" si="49"/>
        <v>149.441</v>
      </c>
      <c r="AB119" s="445">
        <f aca="true" t="shared" si="50" ref="AB119:AC134">Z119</f>
        <v>298.883694</v>
      </c>
      <c r="AC119" s="287">
        <f t="shared" si="43"/>
        <v>149.441</v>
      </c>
      <c r="AD119" s="385"/>
      <c r="AE119" s="363"/>
      <c r="AF119" s="363"/>
      <c r="AG119" s="363"/>
      <c r="AH119" s="363"/>
      <c r="AI119" s="363"/>
      <c r="AJ119" s="363"/>
      <c r="AK119" s="363"/>
      <c r="AL119" s="363"/>
      <c r="AM119" s="363"/>
      <c r="AN119" s="348">
        <f aca="true" t="shared" si="51" ref="AN119:AO128">AF119+AH119+AJ119+AL119</f>
        <v>0</v>
      </c>
      <c r="AO119" s="348">
        <f t="shared" si="51"/>
        <v>0</v>
      </c>
      <c r="AP119" s="349">
        <f t="shared" si="47"/>
        <v>298.883694</v>
      </c>
      <c r="AQ119" s="350">
        <f t="shared" si="48"/>
        <v>149.441</v>
      </c>
      <c r="AR119" s="272"/>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c r="CP119" s="213"/>
      <c r="CQ119" s="213"/>
      <c r="CR119" s="213"/>
      <c r="CS119" s="213"/>
      <c r="CT119" s="213"/>
      <c r="CU119" s="213"/>
      <c r="CV119" s="213"/>
      <c r="CW119" s="213"/>
      <c r="CX119" s="213"/>
      <c r="CY119" s="213"/>
      <c r="CZ119" s="214"/>
      <c r="DA119" s="214"/>
      <c r="DB119" s="214"/>
      <c r="DC119" s="214"/>
      <c r="DD119" s="214"/>
      <c r="DE119" s="214"/>
      <c r="DF119" s="214"/>
      <c r="DG119" s="214"/>
      <c r="DH119" s="214"/>
      <c r="DI119" s="214"/>
      <c r="DJ119" s="214"/>
      <c r="DK119" s="214"/>
      <c r="DL119" s="214"/>
      <c r="DM119" s="214"/>
    </row>
    <row r="120" spans="1:117" s="215" customFormat="1" ht="12.75" hidden="1">
      <c r="A120" s="283">
        <v>3</v>
      </c>
      <c r="B120" s="394" t="s">
        <v>456</v>
      </c>
      <c r="C120" s="272"/>
      <c r="D120" s="272"/>
      <c r="E120" s="272"/>
      <c r="F120" s="272"/>
      <c r="G120" s="436">
        <v>12.803888</v>
      </c>
      <c r="H120" s="273"/>
      <c r="I120" s="387"/>
      <c r="J120" s="387"/>
      <c r="K120" s="387"/>
      <c r="L120" s="387"/>
      <c r="M120" s="387"/>
      <c r="N120" s="387"/>
      <c r="O120" s="387"/>
      <c r="P120" s="437"/>
      <c r="Q120" s="276"/>
      <c r="R120" s="387">
        <v>12.803888</v>
      </c>
      <c r="S120" s="387">
        <v>12.803</v>
      </c>
      <c r="T120" s="387"/>
      <c r="U120" s="387"/>
      <c r="V120" s="387"/>
      <c r="W120" s="387"/>
      <c r="X120" s="430"/>
      <c r="Y120" s="432"/>
      <c r="Z120" s="441">
        <f t="shared" si="49"/>
        <v>12.803888</v>
      </c>
      <c r="AA120" s="336">
        <f t="shared" si="49"/>
        <v>12.803</v>
      </c>
      <c r="AB120" s="445">
        <f t="shared" si="50"/>
        <v>12.803888</v>
      </c>
      <c r="AC120" s="287">
        <f t="shared" si="43"/>
        <v>12.803</v>
      </c>
      <c r="AD120" s="385"/>
      <c r="AE120" s="363"/>
      <c r="AF120" s="363"/>
      <c r="AG120" s="363"/>
      <c r="AH120" s="363"/>
      <c r="AI120" s="363"/>
      <c r="AJ120" s="363"/>
      <c r="AK120" s="363"/>
      <c r="AL120" s="363"/>
      <c r="AM120" s="363"/>
      <c r="AN120" s="348">
        <f t="shared" si="51"/>
        <v>0</v>
      </c>
      <c r="AO120" s="348">
        <f t="shared" si="51"/>
        <v>0</v>
      </c>
      <c r="AP120" s="349">
        <f t="shared" si="47"/>
        <v>12.803888</v>
      </c>
      <c r="AQ120" s="350">
        <f t="shared" si="48"/>
        <v>12.803</v>
      </c>
      <c r="AR120" s="272"/>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c r="CP120" s="213"/>
      <c r="CQ120" s="213"/>
      <c r="CR120" s="213"/>
      <c r="CS120" s="213"/>
      <c r="CT120" s="213"/>
      <c r="CU120" s="213"/>
      <c r="CV120" s="213"/>
      <c r="CW120" s="213"/>
      <c r="CX120" s="213"/>
      <c r="CY120" s="213"/>
      <c r="CZ120" s="214"/>
      <c r="DA120" s="214"/>
      <c r="DB120" s="214"/>
      <c r="DC120" s="214"/>
      <c r="DD120" s="214"/>
      <c r="DE120" s="214"/>
      <c r="DF120" s="214"/>
      <c r="DG120" s="214"/>
      <c r="DH120" s="214"/>
      <c r="DI120" s="214"/>
      <c r="DJ120" s="214"/>
      <c r="DK120" s="214"/>
      <c r="DL120" s="214"/>
      <c r="DM120" s="214"/>
    </row>
    <row r="121" spans="1:117" s="215" customFormat="1" ht="12.75" hidden="1">
      <c r="A121" s="283">
        <v>4</v>
      </c>
      <c r="B121" s="394" t="s">
        <v>457</v>
      </c>
      <c r="C121" s="272"/>
      <c r="D121" s="272"/>
      <c r="E121" s="272"/>
      <c r="F121" s="272"/>
      <c r="G121" s="436">
        <v>82.878365</v>
      </c>
      <c r="H121" s="273"/>
      <c r="I121" s="387"/>
      <c r="J121" s="387"/>
      <c r="K121" s="387"/>
      <c r="L121" s="387"/>
      <c r="M121" s="387"/>
      <c r="N121" s="387"/>
      <c r="O121" s="387"/>
      <c r="P121" s="437"/>
      <c r="Q121" s="276"/>
      <c r="R121" s="387"/>
      <c r="S121" s="387"/>
      <c r="T121" s="387"/>
      <c r="U121" s="387"/>
      <c r="V121" s="387"/>
      <c r="W121" s="387"/>
      <c r="X121" s="430"/>
      <c r="Y121" s="432"/>
      <c r="Z121" s="441">
        <f t="shared" si="49"/>
        <v>0</v>
      </c>
      <c r="AA121" s="336">
        <f t="shared" si="49"/>
        <v>0</v>
      </c>
      <c r="AB121" s="445">
        <f t="shared" si="50"/>
        <v>0</v>
      </c>
      <c r="AC121" s="287">
        <f t="shared" si="43"/>
        <v>0</v>
      </c>
      <c r="AD121" s="385"/>
      <c r="AE121" s="363"/>
      <c r="AF121" s="363"/>
      <c r="AG121" s="363"/>
      <c r="AH121" s="363"/>
      <c r="AI121" s="363"/>
      <c r="AJ121" s="363"/>
      <c r="AK121" s="363"/>
      <c r="AL121" s="363"/>
      <c r="AM121" s="363"/>
      <c r="AN121" s="348">
        <f t="shared" si="51"/>
        <v>0</v>
      </c>
      <c r="AO121" s="348">
        <f t="shared" si="51"/>
        <v>0</v>
      </c>
      <c r="AP121" s="349">
        <f t="shared" si="47"/>
        <v>0</v>
      </c>
      <c r="AQ121" s="350">
        <f t="shared" si="48"/>
        <v>0</v>
      </c>
      <c r="AR121" s="272"/>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c r="CP121" s="213"/>
      <c r="CQ121" s="213"/>
      <c r="CR121" s="213"/>
      <c r="CS121" s="213"/>
      <c r="CT121" s="213"/>
      <c r="CU121" s="213"/>
      <c r="CV121" s="213"/>
      <c r="CW121" s="213"/>
      <c r="CX121" s="213"/>
      <c r="CY121" s="213"/>
      <c r="CZ121" s="214"/>
      <c r="DA121" s="214"/>
      <c r="DB121" s="214"/>
      <c r="DC121" s="214"/>
      <c r="DD121" s="214"/>
      <c r="DE121" s="214"/>
      <c r="DF121" s="214"/>
      <c r="DG121" s="214"/>
      <c r="DH121" s="214"/>
      <c r="DI121" s="214"/>
      <c r="DJ121" s="214"/>
      <c r="DK121" s="214"/>
      <c r="DL121" s="214"/>
      <c r="DM121" s="214"/>
    </row>
    <row r="122" spans="1:117" s="215" customFormat="1" ht="22.5" hidden="1">
      <c r="A122" s="283">
        <v>5</v>
      </c>
      <c r="B122" s="442" t="s">
        <v>455</v>
      </c>
      <c r="C122" s="272"/>
      <c r="D122" s="272"/>
      <c r="E122" s="272"/>
      <c r="F122" s="272"/>
      <c r="G122" s="436">
        <v>50.101776</v>
      </c>
      <c r="H122" s="273"/>
      <c r="I122" s="387"/>
      <c r="J122" s="387"/>
      <c r="K122" s="387"/>
      <c r="L122" s="387"/>
      <c r="M122" s="387"/>
      <c r="N122" s="387"/>
      <c r="O122" s="387"/>
      <c r="P122" s="437"/>
      <c r="Q122" s="276"/>
      <c r="R122" s="387"/>
      <c r="S122" s="387"/>
      <c r="T122" s="387"/>
      <c r="U122" s="387"/>
      <c r="V122" s="387"/>
      <c r="W122" s="387"/>
      <c r="X122" s="430"/>
      <c r="Y122" s="432"/>
      <c r="Z122" s="441">
        <f t="shared" si="49"/>
        <v>0</v>
      </c>
      <c r="AA122" s="336">
        <f t="shared" si="49"/>
        <v>0</v>
      </c>
      <c r="AB122" s="445">
        <f t="shared" si="50"/>
        <v>0</v>
      </c>
      <c r="AC122" s="443">
        <f t="shared" si="43"/>
        <v>0</v>
      </c>
      <c r="AD122" s="385"/>
      <c r="AE122" s="363"/>
      <c r="AF122" s="363"/>
      <c r="AG122" s="363"/>
      <c r="AH122" s="363"/>
      <c r="AI122" s="363"/>
      <c r="AJ122" s="363"/>
      <c r="AK122" s="363"/>
      <c r="AL122" s="363"/>
      <c r="AM122" s="363"/>
      <c r="AN122" s="348">
        <f t="shared" si="51"/>
        <v>0</v>
      </c>
      <c r="AO122" s="348">
        <f t="shared" si="51"/>
        <v>0</v>
      </c>
      <c r="AP122" s="349">
        <f t="shared" si="47"/>
        <v>0</v>
      </c>
      <c r="AQ122" s="350">
        <f t="shared" si="48"/>
        <v>0</v>
      </c>
      <c r="AR122" s="272"/>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c r="CZ122" s="214"/>
      <c r="DA122" s="214"/>
      <c r="DB122" s="214"/>
      <c r="DC122" s="214"/>
      <c r="DD122" s="214"/>
      <c r="DE122" s="214"/>
      <c r="DF122" s="214"/>
      <c r="DG122" s="214"/>
      <c r="DH122" s="214"/>
      <c r="DI122" s="214"/>
      <c r="DJ122" s="214"/>
      <c r="DK122" s="214"/>
      <c r="DL122" s="214"/>
      <c r="DM122" s="214"/>
    </row>
    <row r="123" spans="1:117" s="215" customFormat="1" ht="12.75" hidden="1">
      <c r="A123" s="283">
        <v>6</v>
      </c>
      <c r="B123" s="442" t="s">
        <v>458</v>
      </c>
      <c r="C123" s="272"/>
      <c r="D123" s="272"/>
      <c r="E123" s="272"/>
      <c r="F123" s="272"/>
      <c r="G123" s="436">
        <v>7.5688</v>
      </c>
      <c r="H123" s="273"/>
      <c r="I123" s="387"/>
      <c r="J123" s="387"/>
      <c r="K123" s="387"/>
      <c r="L123" s="387"/>
      <c r="M123" s="387"/>
      <c r="N123" s="387"/>
      <c r="O123" s="387"/>
      <c r="P123" s="437"/>
      <c r="Q123" s="276"/>
      <c r="R123" s="387"/>
      <c r="S123" s="387"/>
      <c r="T123" s="387"/>
      <c r="U123" s="387"/>
      <c r="V123" s="387"/>
      <c r="W123" s="387"/>
      <c r="X123" s="430"/>
      <c r="Y123" s="432"/>
      <c r="Z123" s="441">
        <f t="shared" si="49"/>
        <v>0</v>
      </c>
      <c r="AA123" s="441">
        <f t="shared" si="49"/>
        <v>0</v>
      </c>
      <c r="AB123" s="445">
        <f t="shared" si="50"/>
        <v>0</v>
      </c>
      <c r="AC123" s="445">
        <f t="shared" si="50"/>
        <v>0</v>
      </c>
      <c r="AD123" s="385"/>
      <c r="AE123" s="363"/>
      <c r="AF123" s="363"/>
      <c r="AG123" s="363"/>
      <c r="AH123" s="363"/>
      <c r="AI123" s="363"/>
      <c r="AJ123" s="363"/>
      <c r="AK123" s="363"/>
      <c r="AL123" s="363"/>
      <c r="AM123" s="363"/>
      <c r="AN123" s="348">
        <f t="shared" si="51"/>
        <v>0</v>
      </c>
      <c r="AO123" s="348">
        <f t="shared" si="51"/>
        <v>0</v>
      </c>
      <c r="AP123" s="349">
        <f t="shared" si="47"/>
        <v>0</v>
      </c>
      <c r="AQ123" s="350">
        <f t="shared" si="48"/>
        <v>0</v>
      </c>
      <c r="AR123" s="272"/>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c r="CO123" s="213"/>
      <c r="CP123" s="213"/>
      <c r="CQ123" s="213"/>
      <c r="CR123" s="213"/>
      <c r="CS123" s="213"/>
      <c r="CT123" s="213"/>
      <c r="CU123" s="213"/>
      <c r="CV123" s="213"/>
      <c r="CW123" s="213"/>
      <c r="CX123" s="213"/>
      <c r="CY123" s="213"/>
      <c r="CZ123" s="214"/>
      <c r="DA123" s="214"/>
      <c r="DB123" s="214"/>
      <c r="DC123" s="214"/>
      <c r="DD123" s="214"/>
      <c r="DE123" s="214"/>
      <c r="DF123" s="214"/>
      <c r="DG123" s="214"/>
      <c r="DH123" s="214"/>
      <c r="DI123" s="214"/>
      <c r="DJ123" s="214"/>
      <c r="DK123" s="214"/>
      <c r="DL123" s="214"/>
      <c r="DM123" s="214"/>
    </row>
    <row r="124" spans="1:117" s="215" customFormat="1" ht="22.5" hidden="1">
      <c r="A124" s="283">
        <v>7</v>
      </c>
      <c r="B124" s="442" t="s">
        <v>459</v>
      </c>
      <c r="C124" s="272"/>
      <c r="D124" s="272"/>
      <c r="E124" s="272"/>
      <c r="F124" s="272"/>
      <c r="G124" s="436">
        <v>10.627857</v>
      </c>
      <c r="H124" s="273"/>
      <c r="I124" s="387"/>
      <c r="J124" s="387"/>
      <c r="K124" s="387"/>
      <c r="L124" s="387"/>
      <c r="M124" s="387"/>
      <c r="N124" s="387"/>
      <c r="O124" s="387"/>
      <c r="P124" s="437"/>
      <c r="Q124" s="276"/>
      <c r="R124" s="389">
        <v>10.627857</v>
      </c>
      <c r="S124" s="389">
        <v>10.627</v>
      </c>
      <c r="T124" s="387"/>
      <c r="U124" s="387"/>
      <c r="V124" s="387"/>
      <c r="W124" s="387"/>
      <c r="X124" s="430"/>
      <c r="Y124" s="432"/>
      <c r="Z124" s="441">
        <f t="shared" si="49"/>
        <v>10.627857</v>
      </c>
      <c r="AA124" s="336">
        <f t="shared" si="49"/>
        <v>10.627</v>
      </c>
      <c r="AB124" s="445">
        <f t="shared" si="50"/>
        <v>10.627857</v>
      </c>
      <c r="AC124" s="445">
        <f t="shared" si="50"/>
        <v>10.627</v>
      </c>
      <c r="AD124" s="385"/>
      <c r="AE124" s="363"/>
      <c r="AF124" s="363"/>
      <c r="AG124" s="363"/>
      <c r="AH124" s="363"/>
      <c r="AI124" s="363"/>
      <c r="AJ124" s="363"/>
      <c r="AK124" s="363"/>
      <c r="AL124" s="363"/>
      <c r="AM124" s="363"/>
      <c r="AN124" s="348">
        <f t="shared" si="51"/>
        <v>0</v>
      </c>
      <c r="AO124" s="348">
        <f t="shared" si="51"/>
        <v>0</v>
      </c>
      <c r="AP124" s="349">
        <f t="shared" si="47"/>
        <v>10.627857</v>
      </c>
      <c r="AQ124" s="350">
        <f t="shared" si="48"/>
        <v>10.627</v>
      </c>
      <c r="AR124" s="272"/>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c r="CO124" s="213"/>
      <c r="CP124" s="213"/>
      <c r="CQ124" s="213"/>
      <c r="CR124" s="213"/>
      <c r="CS124" s="213"/>
      <c r="CT124" s="213"/>
      <c r="CU124" s="213"/>
      <c r="CV124" s="213"/>
      <c r="CW124" s="213"/>
      <c r="CX124" s="213"/>
      <c r="CY124" s="213"/>
      <c r="CZ124" s="214"/>
      <c r="DA124" s="214"/>
      <c r="DB124" s="214"/>
      <c r="DC124" s="214"/>
      <c r="DD124" s="214"/>
      <c r="DE124" s="214"/>
      <c r="DF124" s="214"/>
      <c r="DG124" s="214"/>
      <c r="DH124" s="214"/>
      <c r="DI124" s="214"/>
      <c r="DJ124" s="214"/>
      <c r="DK124" s="214"/>
      <c r="DL124" s="214"/>
      <c r="DM124" s="214"/>
    </row>
    <row r="125" spans="1:117" s="215" customFormat="1" ht="12.75" hidden="1">
      <c r="A125" s="283">
        <v>8</v>
      </c>
      <c r="B125" s="393" t="s">
        <v>408</v>
      </c>
      <c r="C125" s="272"/>
      <c r="D125" s="272"/>
      <c r="E125" s="272"/>
      <c r="F125" s="272"/>
      <c r="G125" s="436">
        <v>72.362319</v>
      </c>
      <c r="H125" s="273"/>
      <c r="I125" s="387"/>
      <c r="J125" s="387"/>
      <c r="K125" s="387"/>
      <c r="L125" s="387"/>
      <c r="M125" s="387"/>
      <c r="N125" s="387"/>
      <c r="O125" s="387"/>
      <c r="P125" s="437"/>
      <c r="Q125" s="276"/>
      <c r="R125" s="387"/>
      <c r="S125" s="387"/>
      <c r="T125" s="387"/>
      <c r="U125" s="387"/>
      <c r="V125" s="387">
        <v>72.362</v>
      </c>
      <c r="W125" s="389"/>
      <c r="X125" s="430"/>
      <c r="Y125" s="432">
        <v>72.362</v>
      </c>
      <c r="Z125" s="441">
        <f t="shared" si="49"/>
        <v>72.362</v>
      </c>
      <c r="AA125" s="440">
        <f t="shared" si="49"/>
        <v>72.362</v>
      </c>
      <c r="AB125" s="445">
        <f t="shared" si="50"/>
        <v>72.362</v>
      </c>
      <c r="AC125" s="443">
        <f t="shared" si="50"/>
        <v>72.362</v>
      </c>
      <c r="AD125" s="385"/>
      <c r="AE125" s="363"/>
      <c r="AF125" s="363"/>
      <c r="AG125" s="363"/>
      <c r="AH125" s="363"/>
      <c r="AI125" s="363"/>
      <c r="AJ125" s="363"/>
      <c r="AK125" s="363"/>
      <c r="AL125" s="363"/>
      <c r="AM125" s="363"/>
      <c r="AN125" s="348">
        <f t="shared" si="51"/>
        <v>0</v>
      </c>
      <c r="AO125" s="348">
        <f t="shared" si="51"/>
        <v>0</v>
      </c>
      <c r="AP125" s="349">
        <f t="shared" si="47"/>
        <v>72.362</v>
      </c>
      <c r="AQ125" s="350">
        <f t="shared" si="48"/>
        <v>72.362</v>
      </c>
      <c r="AR125" s="272"/>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c r="CP125" s="213"/>
      <c r="CQ125" s="213"/>
      <c r="CR125" s="213"/>
      <c r="CS125" s="213"/>
      <c r="CT125" s="213"/>
      <c r="CU125" s="213"/>
      <c r="CV125" s="213"/>
      <c r="CW125" s="213"/>
      <c r="CX125" s="213"/>
      <c r="CY125" s="213"/>
      <c r="CZ125" s="214"/>
      <c r="DA125" s="214"/>
      <c r="DB125" s="214"/>
      <c r="DC125" s="214"/>
      <c r="DD125" s="214"/>
      <c r="DE125" s="214"/>
      <c r="DF125" s="214"/>
      <c r="DG125" s="214"/>
      <c r="DH125" s="214"/>
      <c r="DI125" s="214"/>
      <c r="DJ125" s="214"/>
      <c r="DK125" s="214"/>
      <c r="DL125" s="214"/>
      <c r="DM125" s="214"/>
    </row>
    <row r="126" spans="1:117" s="215" customFormat="1" ht="12.75" hidden="1">
      <c r="A126" s="283">
        <v>9</v>
      </c>
      <c r="B126" s="393" t="s">
        <v>460</v>
      </c>
      <c r="C126" s="272"/>
      <c r="D126" s="272"/>
      <c r="E126" s="272"/>
      <c r="F126" s="272"/>
      <c r="G126" s="436">
        <v>0.77425</v>
      </c>
      <c r="H126" s="273"/>
      <c r="I126" s="387"/>
      <c r="J126" s="387"/>
      <c r="K126" s="387"/>
      <c r="L126" s="387"/>
      <c r="M126" s="387"/>
      <c r="N126" s="387"/>
      <c r="O126" s="387"/>
      <c r="P126" s="437"/>
      <c r="Q126" s="276"/>
      <c r="R126" s="387">
        <v>0.77425</v>
      </c>
      <c r="S126" s="387"/>
      <c r="T126" s="387"/>
      <c r="U126" s="387"/>
      <c r="V126" s="387"/>
      <c r="W126" s="387"/>
      <c r="X126" s="430"/>
      <c r="Y126" s="430"/>
      <c r="Z126" s="441">
        <f t="shared" si="49"/>
        <v>0.77425</v>
      </c>
      <c r="AA126" s="440">
        <f t="shared" si="49"/>
        <v>0</v>
      </c>
      <c r="AB126" s="445">
        <f t="shared" si="50"/>
        <v>0.77425</v>
      </c>
      <c r="AC126" s="443">
        <f t="shared" si="50"/>
        <v>0</v>
      </c>
      <c r="AD126" s="385"/>
      <c r="AE126" s="363"/>
      <c r="AF126" s="363"/>
      <c r="AG126" s="363"/>
      <c r="AH126" s="363"/>
      <c r="AI126" s="363"/>
      <c r="AJ126" s="363"/>
      <c r="AK126" s="363"/>
      <c r="AL126" s="363"/>
      <c r="AM126" s="363"/>
      <c r="AN126" s="348">
        <f t="shared" si="51"/>
        <v>0</v>
      </c>
      <c r="AO126" s="348">
        <f t="shared" si="51"/>
        <v>0</v>
      </c>
      <c r="AP126" s="349">
        <f t="shared" si="47"/>
        <v>0.77425</v>
      </c>
      <c r="AQ126" s="350">
        <f t="shared" si="48"/>
        <v>0</v>
      </c>
      <c r="AR126" s="272"/>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c r="CO126" s="213"/>
      <c r="CP126" s="213"/>
      <c r="CQ126" s="213"/>
      <c r="CR126" s="213"/>
      <c r="CS126" s="213"/>
      <c r="CT126" s="213"/>
      <c r="CU126" s="213"/>
      <c r="CV126" s="213"/>
      <c r="CW126" s="213"/>
      <c r="CX126" s="213"/>
      <c r="CY126" s="213"/>
      <c r="CZ126" s="214"/>
      <c r="DA126" s="214"/>
      <c r="DB126" s="214"/>
      <c r="DC126" s="214"/>
      <c r="DD126" s="214"/>
      <c r="DE126" s="214"/>
      <c r="DF126" s="214"/>
      <c r="DG126" s="214"/>
      <c r="DH126" s="214"/>
      <c r="DI126" s="214"/>
      <c r="DJ126" s="214"/>
      <c r="DK126" s="214"/>
      <c r="DL126" s="214"/>
      <c r="DM126" s="214"/>
    </row>
    <row r="127" spans="1:117" s="215" customFormat="1" ht="12.75" hidden="1">
      <c r="A127" s="283">
        <v>10</v>
      </c>
      <c r="B127" s="393" t="s">
        <v>461</v>
      </c>
      <c r="C127" s="272"/>
      <c r="D127" s="272"/>
      <c r="E127" s="272"/>
      <c r="F127" s="272"/>
      <c r="G127" s="436">
        <v>15.485</v>
      </c>
      <c r="H127" s="273"/>
      <c r="I127" s="387"/>
      <c r="J127" s="387"/>
      <c r="K127" s="387"/>
      <c r="L127" s="387"/>
      <c r="M127" s="387"/>
      <c r="N127" s="387"/>
      <c r="O127" s="387"/>
      <c r="P127" s="437"/>
      <c r="Q127" s="276"/>
      <c r="R127" s="387"/>
      <c r="S127" s="387"/>
      <c r="T127" s="387"/>
      <c r="U127" s="387"/>
      <c r="V127" s="387"/>
      <c r="W127" s="387"/>
      <c r="X127" s="430"/>
      <c r="Y127" s="430"/>
      <c r="Z127" s="441">
        <f t="shared" si="49"/>
        <v>0</v>
      </c>
      <c r="AA127" s="440">
        <f t="shared" si="49"/>
        <v>0</v>
      </c>
      <c r="AB127" s="445">
        <f t="shared" si="50"/>
        <v>0</v>
      </c>
      <c r="AC127" s="443">
        <f t="shared" si="50"/>
        <v>0</v>
      </c>
      <c r="AD127" s="385"/>
      <c r="AE127" s="363"/>
      <c r="AF127" s="363"/>
      <c r="AG127" s="363"/>
      <c r="AH127" s="363"/>
      <c r="AI127" s="363"/>
      <c r="AJ127" s="363"/>
      <c r="AK127" s="363"/>
      <c r="AL127" s="363"/>
      <c r="AM127" s="363"/>
      <c r="AN127" s="348">
        <f t="shared" si="51"/>
        <v>0</v>
      </c>
      <c r="AO127" s="348">
        <f t="shared" si="51"/>
        <v>0</v>
      </c>
      <c r="AP127" s="349">
        <f t="shared" si="47"/>
        <v>0</v>
      </c>
      <c r="AQ127" s="350">
        <f t="shared" si="48"/>
        <v>0</v>
      </c>
      <c r="AR127" s="272"/>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c r="CO127" s="213"/>
      <c r="CP127" s="213"/>
      <c r="CQ127" s="213"/>
      <c r="CR127" s="213"/>
      <c r="CS127" s="213"/>
      <c r="CT127" s="213"/>
      <c r="CU127" s="213"/>
      <c r="CV127" s="213"/>
      <c r="CW127" s="213"/>
      <c r="CX127" s="213"/>
      <c r="CY127" s="213"/>
      <c r="CZ127" s="214"/>
      <c r="DA127" s="214"/>
      <c r="DB127" s="214"/>
      <c r="DC127" s="214"/>
      <c r="DD127" s="214"/>
      <c r="DE127" s="214"/>
      <c r="DF127" s="214"/>
      <c r="DG127" s="214"/>
      <c r="DH127" s="214"/>
      <c r="DI127" s="214"/>
      <c r="DJ127" s="214"/>
      <c r="DK127" s="214"/>
      <c r="DL127" s="214"/>
      <c r="DM127" s="214"/>
    </row>
    <row r="128" spans="1:117" s="215" customFormat="1" ht="12.75" hidden="1">
      <c r="A128" s="283">
        <v>11</v>
      </c>
      <c r="B128" s="393" t="s">
        <v>417</v>
      </c>
      <c r="C128" s="272"/>
      <c r="D128" s="272"/>
      <c r="E128" s="272"/>
      <c r="F128" s="272"/>
      <c r="G128" s="436">
        <v>369.847214</v>
      </c>
      <c r="H128" s="273"/>
      <c r="I128" s="387"/>
      <c r="J128" s="387"/>
      <c r="K128" s="387"/>
      <c r="L128" s="387"/>
      <c r="M128" s="387"/>
      <c r="N128" s="387"/>
      <c r="O128" s="387"/>
      <c r="P128" s="437"/>
      <c r="Q128" s="276"/>
      <c r="R128" s="387"/>
      <c r="S128" s="387"/>
      <c r="T128" s="387"/>
      <c r="U128" s="387"/>
      <c r="V128" s="387"/>
      <c r="W128" s="387"/>
      <c r="X128" s="430"/>
      <c r="Y128" s="430"/>
      <c r="Z128" s="441">
        <f t="shared" si="49"/>
        <v>0</v>
      </c>
      <c r="AA128" s="440">
        <f t="shared" si="49"/>
        <v>0</v>
      </c>
      <c r="AB128" s="445">
        <f t="shared" si="50"/>
        <v>0</v>
      </c>
      <c r="AC128" s="443">
        <f t="shared" si="50"/>
        <v>0</v>
      </c>
      <c r="AD128" s="385"/>
      <c r="AE128" s="363"/>
      <c r="AF128" s="363"/>
      <c r="AG128" s="363"/>
      <c r="AH128" s="363"/>
      <c r="AI128" s="363"/>
      <c r="AJ128" s="363"/>
      <c r="AK128" s="363"/>
      <c r="AL128" s="363"/>
      <c r="AM128" s="363"/>
      <c r="AN128" s="348">
        <f t="shared" si="51"/>
        <v>0</v>
      </c>
      <c r="AO128" s="348">
        <f t="shared" si="51"/>
        <v>0</v>
      </c>
      <c r="AP128" s="349">
        <f t="shared" si="47"/>
        <v>0</v>
      </c>
      <c r="AQ128" s="350">
        <f t="shared" si="48"/>
        <v>0</v>
      </c>
      <c r="AR128" s="272"/>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c r="CP128" s="213"/>
      <c r="CQ128" s="213"/>
      <c r="CR128" s="213"/>
      <c r="CS128" s="213"/>
      <c r="CT128" s="213"/>
      <c r="CU128" s="213"/>
      <c r="CV128" s="213"/>
      <c r="CW128" s="213"/>
      <c r="CX128" s="213"/>
      <c r="CY128" s="213"/>
      <c r="CZ128" s="214"/>
      <c r="DA128" s="214"/>
      <c r="DB128" s="214"/>
      <c r="DC128" s="214"/>
      <c r="DD128" s="214"/>
      <c r="DE128" s="214"/>
      <c r="DF128" s="214"/>
      <c r="DG128" s="214"/>
      <c r="DH128" s="214"/>
      <c r="DI128" s="214"/>
      <c r="DJ128" s="214"/>
      <c r="DK128" s="214"/>
      <c r="DL128" s="214"/>
      <c r="DM128" s="214"/>
    </row>
    <row r="129" spans="1:117" s="215" customFormat="1" ht="43.5" customHeight="1">
      <c r="A129" s="283">
        <v>15</v>
      </c>
      <c r="B129" s="284" t="s">
        <v>467</v>
      </c>
      <c r="C129" s="272" t="s">
        <v>468</v>
      </c>
      <c r="D129" s="272"/>
      <c r="E129" s="272" t="s">
        <v>452</v>
      </c>
      <c r="F129" s="272" t="s">
        <v>469</v>
      </c>
      <c r="G129" s="387">
        <f>SUM(G130:G142)</f>
        <v>5218.000000000001</v>
      </c>
      <c r="H129" s="273"/>
      <c r="I129" s="387"/>
      <c r="J129" s="387"/>
      <c r="K129" s="387"/>
      <c r="L129" s="387">
        <v>1800</v>
      </c>
      <c r="M129" s="387">
        <v>200</v>
      </c>
      <c r="N129" s="387"/>
      <c r="O129" s="387"/>
      <c r="P129" s="435">
        <f>1000+800</f>
        <v>1800</v>
      </c>
      <c r="Q129" s="339">
        <f>J129+K129+L129+M129</f>
        <v>2000</v>
      </c>
      <c r="R129" s="389">
        <f>SUM(R130:R142)</f>
        <v>981.2856439999999</v>
      </c>
      <c r="S129" s="377">
        <f>SUM(S130:S142)</f>
        <v>1000.0000000000001</v>
      </c>
      <c r="T129" s="377">
        <f aca="true" t="shared" si="52" ref="T129:AQ129">SUM(T130:T142)</f>
        <v>1288.9595</v>
      </c>
      <c r="U129" s="377">
        <f t="shared" si="52"/>
        <v>0</v>
      </c>
      <c r="V129" s="377">
        <f t="shared" si="52"/>
        <v>48.137</v>
      </c>
      <c r="W129" s="377">
        <f t="shared" si="52"/>
        <v>0</v>
      </c>
      <c r="X129" s="377">
        <f t="shared" si="52"/>
        <v>0</v>
      </c>
      <c r="Y129" s="377">
        <f t="shared" si="52"/>
        <v>800.003</v>
      </c>
      <c r="Z129" s="389">
        <f t="shared" si="52"/>
        <v>2318.3821439999997</v>
      </c>
      <c r="AA129" s="377">
        <f t="shared" si="52"/>
        <v>1800.0030000000004</v>
      </c>
      <c r="AB129" s="389">
        <f t="shared" si="52"/>
        <v>2318.3821439999997</v>
      </c>
      <c r="AC129" s="377">
        <f t="shared" si="52"/>
        <v>1800.0030000000004</v>
      </c>
      <c r="AD129" s="377">
        <v>200</v>
      </c>
      <c r="AE129" s="377">
        <f>AD129+AC129</f>
        <v>2000.0030000000004</v>
      </c>
      <c r="AF129" s="377">
        <f t="shared" si="52"/>
        <v>0</v>
      </c>
      <c r="AG129" s="377">
        <f t="shared" si="52"/>
        <v>0</v>
      </c>
      <c r="AH129" s="377">
        <f t="shared" si="52"/>
        <v>0</v>
      </c>
      <c r="AI129" s="377">
        <f t="shared" si="52"/>
        <v>200</v>
      </c>
      <c r="AJ129" s="377">
        <f t="shared" si="52"/>
        <v>0</v>
      </c>
      <c r="AK129" s="377">
        <f t="shared" si="52"/>
        <v>0</v>
      </c>
      <c r="AL129" s="377">
        <f t="shared" si="52"/>
        <v>0</v>
      </c>
      <c r="AM129" s="377">
        <f t="shared" si="52"/>
        <v>0</v>
      </c>
      <c r="AN129" s="377">
        <f t="shared" si="52"/>
        <v>0</v>
      </c>
      <c r="AO129" s="377">
        <f t="shared" si="52"/>
        <v>200</v>
      </c>
      <c r="AP129" s="388">
        <f>SUM(AP130:AP142)</f>
        <v>2318.3821439999997</v>
      </c>
      <c r="AQ129" s="294">
        <f t="shared" si="52"/>
        <v>2000.0030000000004</v>
      </c>
      <c r="AR129" s="272" t="s">
        <v>466</v>
      </c>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c r="CP129" s="213"/>
      <c r="CQ129" s="213"/>
      <c r="CR129" s="213"/>
      <c r="CS129" s="213"/>
      <c r="CT129" s="213"/>
      <c r="CU129" s="213"/>
      <c r="CV129" s="213"/>
      <c r="CW129" s="213"/>
      <c r="CX129" s="213"/>
      <c r="CY129" s="213"/>
      <c r="CZ129" s="214"/>
      <c r="DA129" s="214"/>
      <c r="DB129" s="214"/>
      <c r="DC129" s="214"/>
      <c r="DD129" s="214"/>
      <c r="DE129" s="214"/>
      <c r="DF129" s="214"/>
      <c r="DG129" s="214"/>
      <c r="DH129" s="214"/>
      <c r="DI129" s="214"/>
      <c r="DJ129" s="214"/>
      <c r="DK129" s="214"/>
      <c r="DL129" s="214"/>
      <c r="DM129" s="214"/>
    </row>
    <row r="130" spans="1:117" s="215" customFormat="1" ht="13.5" customHeight="1" hidden="1">
      <c r="A130" s="283">
        <v>1</v>
      </c>
      <c r="B130" s="394" t="s">
        <v>406</v>
      </c>
      <c r="C130" s="272"/>
      <c r="D130" s="272"/>
      <c r="E130" s="272"/>
      <c r="F130" s="272"/>
      <c r="G130" s="436">
        <v>1943.283807</v>
      </c>
      <c r="H130" s="273"/>
      <c r="I130" s="387"/>
      <c r="J130" s="387"/>
      <c r="K130" s="387"/>
      <c r="L130" s="387"/>
      <c r="M130" s="387"/>
      <c r="N130" s="387"/>
      <c r="O130" s="387"/>
      <c r="P130" s="437"/>
      <c r="Q130" s="276"/>
      <c r="R130" s="387"/>
      <c r="S130" s="387">
        <f>300</f>
        <v>300</v>
      </c>
      <c r="T130" s="285">
        <v>500</v>
      </c>
      <c r="U130" s="285"/>
      <c r="V130" s="286"/>
      <c r="W130" s="286"/>
      <c r="X130" s="430"/>
      <c r="Y130" s="430"/>
      <c r="Z130" s="441">
        <f>R130+T130+V130+X130</f>
        <v>500</v>
      </c>
      <c r="AA130" s="336">
        <f>S130+U130+W130+Y130</f>
        <v>300</v>
      </c>
      <c r="AB130" s="448">
        <f>Z130</f>
        <v>500</v>
      </c>
      <c r="AC130" s="289">
        <f>AA130</f>
        <v>300</v>
      </c>
      <c r="AD130" s="385"/>
      <c r="AE130" s="363"/>
      <c r="AF130" s="363"/>
      <c r="AG130" s="363"/>
      <c r="AH130" s="363"/>
      <c r="AI130" s="363"/>
      <c r="AJ130" s="363"/>
      <c r="AK130" s="363"/>
      <c r="AL130" s="363"/>
      <c r="AM130" s="363"/>
      <c r="AN130" s="348">
        <f>AF130+AH130+AJ130+AL130</f>
        <v>0</v>
      </c>
      <c r="AO130" s="348">
        <f>AG130+AI130+AK130+AM130</f>
        <v>0</v>
      </c>
      <c r="AP130" s="349">
        <f aca="true" t="shared" si="53" ref="AP130:AP142">AN130+AB130</f>
        <v>500</v>
      </c>
      <c r="AQ130" s="350">
        <f aca="true" t="shared" si="54" ref="AQ130:AQ142">AO130+AC130</f>
        <v>300</v>
      </c>
      <c r="AR130" s="272"/>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c r="CO130" s="213"/>
      <c r="CP130" s="213"/>
      <c r="CQ130" s="213"/>
      <c r="CR130" s="213"/>
      <c r="CS130" s="213"/>
      <c r="CT130" s="213"/>
      <c r="CU130" s="213"/>
      <c r="CV130" s="213"/>
      <c r="CW130" s="213"/>
      <c r="CX130" s="213"/>
      <c r="CY130" s="213"/>
      <c r="CZ130" s="214"/>
      <c r="DA130" s="214"/>
      <c r="DB130" s="214"/>
      <c r="DC130" s="214"/>
      <c r="DD130" s="214"/>
      <c r="DE130" s="214"/>
      <c r="DF130" s="214"/>
      <c r="DG130" s="214"/>
      <c r="DH130" s="214"/>
      <c r="DI130" s="214"/>
      <c r="DJ130" s="214"/>
      <c r="DK130" s="214"/>
      <c r="DL130" s="214"/>
      <c r="DM130" s="214"/>
    </row>
    <row r="131" spans="1:117" s="215" customFormat="1" ht="13.5" customHeight="1" hidden="1">
      <c r="A131" s="283">
        <v>2</v>
      </c>
      <c r="B131" s="394" t="s">
        <v>470</v>
      </c>
      <c r="C131" s="272"/>
      <c r="D131" s="272"/>
      <c r="E131" s="272"/>
      <c r="F131" s="272"/>
      <c r="G131" s="436">
        <v>194.24516</v>
      </c>
      <c r="H131" s="273"/>
      <c r="I131" s="387"/>
      <c r="J131" s="387"/>
      <c r="K131" s="387"/>
      <c r="L131" s="387"/>
      <c r="M131" s="387"/>
      <c r="N131" s="387"/>
      <c r="O131" s="387"/>
      <c r="P131" s="437"/>
      <c r="Q131" s="276"/>
      <c r="R131" s="387"/>
      <c r="S131" s="387"/>
      <c r="T131" s="286"/>
      <c r="U131" s="286"/>
      <c r="V131" s="286"/>
      <c r="W131" s="286"/>
      <c r="X131" s="430"/>
      <c r="Y131" s="430"/>
      <c r="Z131" s="441">
        <f aca="true" t="shared" si="55" ref="Z131:AA146">R131+T131+V131+X131</f>
        <v>0</v>
      </c>
      <c r="AA131" s="336">
        <f t="shared" si="55"/>
        <v>0</v>
      </c>
      <c r="AB131" s="445">
        <f aca="true" t="shared" si="56" ref="AB131:AC146">Z131</f>
        <v>0</v>
      </c>
      <c r="AC131" s="287">
        <f t="shared" si="50"/>
        <v>0</v>
      </c>
      <c r="AD131" s="385"/>
      <c r="AE131" s="363"/>
      <c r="AF131" s="363"/>
      <c r="AG131" s="363"/>
      <c r="AH131" s="363"/>
      <c r="AI131" s="363"/>
      <c r="AJ131" s="363"/>
      <c r="AK131" s="363"/>
      <c r="AL131" s="363"/>
      <c r="AM131" s="363"/>
      <c r="AN131" s="348">
        <f aca="true" t="shared" si="57" ref="AN131:AO142">AF131+AH131+AJ131+AL131</f>
        <v>0</v>
      </c>
      <c r="AO131" s="348">
        <f t="shared" si="57"/>
        <v>0</v>
      </c>
      <c r="AP131" s="349">
        <f t="shared" si="53"/>
        <v>0</v>
      </c>
      <c r="AQ131" s="350">
        <f t="shared" si="54"/>
        <v>0</v>
      </c>
      <c r="AR131" s="272"/>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c r="CO131" s="213"/>
      <c r="CP131" s="213"/>
      <c r="CQ131" s="213"/>
      <c r="CR131" s="213"/>
      <c r="CS131" s="213"/>
      <c r="CT131" s="213"/>
      <c r="CU131" s="213"/>
      <c r="CV131" s="213"/>
      <c r="CW131" s="213"/>
      <c r="CX131" s="213"/>
      <c r="CY131" s="213"/>
      <c r="CZ131" s="214"/>
      <c r="DA131" s="214"/>
      <c r="DB131" s="214"/>
      <c r="DC131" s="214"/>
      <c r="DD131" s="214"/>
      <c r="DE131" s="214"/>
      <c r="DF131" s="214"/>
      <c r="DG131" s="214"/>
      <c r="DH131" s="214"/>
      <c r="DI131" s="214"/>
      <c r="DJ131" s="214"/>
      <c r="DK131" s="214"/>
      <c r="DL131" s="214"/>
      <c r="DM131" s="214"/>
    </row>
    <row r="132" spans="1:117" s="215" customFormat="1" ht="27.75" customHeight="1" hidden="1">
      <c r="A132" s="283">
        <v>3</v>
      </c>
      <c r="B132" s="442" t="s">
        <v>471</v>
      </c>
      <c r="C132" s="272"/>
      <c r="D132" s="272"/>
      <c r="E132" s="272"/>
      <c r="F132" s="272"/>
      <c r="G132" s="436">
        <v>1610.2328</v>
      </c>
      <c r="H132" s="273"/>
      <c r="I132" s="387"/>
      <c r="J132" s="387"/>
      <c r="K132" s="387"/>
      <c r="L132" s="387"/>
      <c r="M132" s="387"/>
      <c r="N132" s="387"/>
      <c r="O132" s="387"/>
      <c r="P132" s="437"/>
      <c r="Q132" s="276"/>
      <c r="R132" s="387">
        <v>403.489</v>
      </c>
      <c r="S132" s="387">
        <v>403.489</v>
      </c>
      <c r="T132" s="286">
        <v>788.9595</v>
      </c>
      <c r="U132" s="286"/>
      <c r="V132" s="286"/>
      <c r="W132" s="286"/>
      <c r="X132" s="430"/>
      <c r="Y132" s="432">
        <v>442.578</v>
      </c>
      <c r="Z132" s="449">
        <f>R132+T132+V132+X132</f>
        <v>1192.4485</v>
      </c>
      <c r="AA132" s="338">
        <f t="shared" si="55"/>
        <v>846.067</v>
      </c>
      <c r="AB132" s="445">
        <f>Z132</f>
        <v>1192.4485</v>
      </c>
      <c r="AC132" s="344">
        <f t="shared" si="50"/>
        <v>846.067</v>
      </c>
      <c r="AD132" s="385"/>
      <c r="AE132" s="363"/>
      <c r="AF132" s="363"/>
      <c r="AG132" s="363"/>
      <c r="AH132" s="363"/>
      <c r="AI132" s="363">
        <v>200</v>
      </c>
      <c r="AJ132" s="363"/>
      <c r="AK132" s="363"/>
      <c r="AL132" s="363"/>
      <c r="AM132" s="363"/>
      <c r="AN132" s="348">
        <f t="shared" si="57"/>
        <v>0</v>
      </c>
      <c r="AO132" s="348">
        <f t="shared" si="57"/>
        <v>200</v>
      </c>
      <c r="AP132" s="349">
        <f t="shared" si="53"/>
        <v>1192.4485</v>
      </c>
      <c r="AQ132" s="350">
        <f t="shared" si="54"/>
        <v>1046.067</v>
      </c>
      <c r="AR132" s="272"/>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c r="CP132" s="213"/>
      <c r="CQ132" s="213"/>
      <c r="CR132" s="213"/>
      <c r="CS132" s="213"/>
      <c r="CT132" s="213"/>
      <c r="CU132" s="213"/>
      <c r="CV132" s="213"/>
      <c r="CW132" s="213"/>
      <c r="CX132" s="213"/>
      <c r="CY132" s="213"/>
      <c r="CZ132" s="214"/>
      <c r="DA132" s="214"/>
      <c r="DB132" s="214"/>
      <c r="DC132" s="214"/>
      <c r="DD132" s="214"/>
      <c r="DE132" s="214"/>
      <c r="DF132" s="214"/>
      <c r="DG132" s="214"/>
      <c r="DH132" s="214"/>
      <c r="DI132" s="214"/>
      <c r="DJ132" s="214"/>
      <c r="DK132" s="214"/>
      <c r="DL132" s="214"/>
      <c r="DM132" s="214"/>
    </row>
    <row r="133" spans="1:117" s="215" customFormat="1" ht="13.5" customHeight="1" hidden="1">
      <c r="A133" s="283">
        <v>4</v>
      </c>
      <c r="B133" s="394" t="s">
        <v>454</v>
      </c>
      <c r="C133" s="272"/>
      <c r="D133" s="272"/>
      <c r="E133" s="272"/>
      <c r="F133" s="272"/>
      <c r="G133" s="436">
        <v>562.570276</v>
      </c>
      <c r="H133" s="273"/>
      <c r="I133" s="387"/>
      <c r="J133" s="387"/>
      <c r="K133" s="387"/>
      <c r="L133" s="387"/>
      <c r="M133" s="387"/>
      <c r="N133" s="387"/>
      <c r="O133" s="387"/>
      <c r="P133" s="437"/>
      <c r="Q133" s="276"/>
      <c r="R133" s="387">
        <f>485.619234+76.951042</f>
        <v>562.570276</v>
      </c>
      <c r="S133" s="444">
        <v>281.285</v>
      </c>
      <c r="T133" s="286"/>
      <c r="U133" s="286"/>
      <c r="V133" s="286"/>
      <c r="W133" s="286"/>
      <c r="X133" s="430"/>
      <c r="Y133" s="432">
        <v>281.285</v>
      </c>
      <c r="Z133" s="441">
        <f t="shared" si="55"/>
        <v>562.570276</v>
      </c>
      <c r="AA133" s="336">
        <f t="shared" si="55"/>
        <v>562.57</v>
      </c>
      <c r="AB133" s="445">
        <f t="shared" si="56"/>
        <v>562.570276</v>
      </c>
      <c r="AC133" s="445">
        <f t="shared" si="50"/>
        <v>562.57</v>
      </c>
      <c r="AD133" s="385"/>
      <c r="AE133" s="363"/>
      <c r="AF133" s="363"/>
      <c r="AG133" s="363"/>
      <c r="AH133" s="363"/>
      <c r="AI133" s="363"/>
      <c r="AJ133" s="363"/>
      <c r="AK133" s="363"/>
      <c r="AL133" s="363"/>
      <c r="AM133" s="363"/>
      <c r="AN133" s="348">
        <f t="shared" si="57"/>
        <v>0</v>
      </c>
      <c r="AO133" s="348">
        <f t="shared" si="57"/>
        <v>0</v>
      </c>
      <c r="AP133" s="349">
        <f t="shared" si="53"/>
        <v>562.570276</v>
      </c>
      <c r="AQ133" s="350">
        <f t="shared" si="54"/>
        <v>562.57</v>
      </c>
      <c r="AR133" s="272"/>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c r="CZ133" s="214"/>
      <c r="DA133" s="214"/>
      <c r="DB133" s="214"/>
      <c r="DC133" s="214"/>
      <c r="DD133" s="214"/>
      <c r="DE133" s="214"/>
      <c r="DF133" s="214"/>
      <c r="DG133" s="214"/>
      <c r="DH133" s="214"/>
      <c r="DI133" s="214"/>
      <c r="DJ133" s="214"/>
      <c r="DK133" s="214"/>
      <c r="DL133" s="214"/>
      <c r="DM133" s="214"/>
    </row>
    <row r="134" spans="1:117" s="215" customFormat="1" ht="13.5" customHeight="1" hidden="1">
      <c r="A134" s="283">
        <v>5</v>
      </c>
      <c r="B134" s="442" t="s">
        <v>455</v>
      </c>
      <c r="C134" s="272"/>
      <c r="D134" s="272"/>
      <c r="E134" s="272"/>
      <c r="F134" s="272"/>
      <c r="G134" s="436">
        <v>287.18949</v>
      </c>
      <c r="H134" s="273"/>
      <c r="I134" s="387"/>
      <c r="J134" s="387"/>
      <c r="K134" s="387"/>
      <c r="L134" s="387"/>
      <c r="M134" s="387"/>
      <c r="N134" s="387"/>
      <c r="O134" s="387"/>
      <c r="P134" s="437"/>
      <c r="Q134" s="276"/>
      <c r="R134" s="387"/>
      <c r="S134" s="377"/>
      <c r="T134" s="285"/>
      <c r="U134" s="285"/>
      <c r="V134" s="285"/>
      <c r="W134" s="285"/>
      <c r="X134" s="450"/>
      <c r="Y134" s="451"/>
      <c r="Z134" s="441">
        <f t="shared" si="55"/>
        <v>0</v>
      </c>
      <c r="AA134" s="336">
        <f t="shared" si="55"/>
        <v>0</v>
      </c>
      <c r="AB134" s="445">
        <f t="shared" si="56"/>
        <v>0</v>
      </c>
      <c r="AC134" s="377">
        <f t="shared" si="50"/>
        <v>0</v>
      </c>
      <c r="AD134" s="385"/>
      <c r="AE134" s="363"/>
      <c r="AF134" s="363"/>
      <c r="AG134" s="363"/>
      <c r="AH134" s="363"/>
      <c r="AI134" s="363"/>
      <c r="AJ134" s="363"/>
      <c r="AK134" s="363"/>
      <c r="AL134" s="363"/>
      <c r="AM134" s="363"/>
      <c r="AN134" s="348">
        <f t="shared" si="57"/>
        <v>0</v>
      </c>
      <c r="AO134" s="348">
        <f t="shared" si="57"/>
        <v>0</v>
      </c>
      <c r="AP134" s="349">
        <f t="shared" si="53"/>
        <v>0</v>
      </c>
      <c r="AQ134" s="350">
        <f t="shared" si="54"/>
        <v>0</v>
      </c>
      <c r="AR134" s="272"/>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c r="CO134" s="213"/>
      <c r="CP134" s="213"/>
      <c r="CQ134" s="213"/>
      <c r="CR134" s="213"/>
      <c r="CS134" s="213"/>
      <c r="CT134" s="213"/>
      <c r="CU134" s="213"/>
      <c r="CV134" s="213"/>
      <c r="CW134" s="213"/>
      <c r="CX134" s="213"/>
      <c r="CY134" s="213"/>
      <c r="CZ134" s="214"/>
      <c r="DA134" s="214"/>
      <c r="DB134" s="214"/>
      <c r="DC134" s="214"/>
      <c r="DD134" s="214"/>
      <c r="DE134" s="214"/>
      <c r="DF134" s="214"/>
      <c r="DG134" s="214"/>
      <c r="DH134" s="214"/>
      <c r="DI134" s="214"/>
      <c r="DJ134" s="214"/>
      <c r="DK134" s="214"/>
      <c r="DL134" s="214"/>
      <c r="DM134" s="214"/>
    </row>
    <row r="135" spans="1:117" s="215" customFormat="1" ht="13.5" customHeight="1" hidden="1">
      <c r="A135" s="283">
        <v>6</v>
      </c>
      <c r="B135" s="394" t="s">
        <v>456</v>
      </c>
      <c r="C135" s="272"/>
      <c r="D135" s="272"/>
      <c r="E135" s="272"/>
      <c r="F135" s="272"/>
      <c r="G135" s="436">
        <v>8.678368</v>
      </c>
      <c r="H135" s="273"/>
      <c r="I135" s="387"/>
      <c r="J135" s="387"/>
      <c r="K135" s="387"/>
      <c r="L135" s="387"/>
      <c r="M135" s="387"/>
      <c r="N135" s="387"/>
      <c r="O135" s="387"/>
      <c r="P135" s="437"/>
      <c r="Q135" s="276"/>
      <c r="R135" s="389">
        <v>8.678368</v>
      </c>
      <c r="S135" s="389">
        <v>8.678</v>
      </c>
      <c r="T135" s="286"/>
      <c r="U135" s="286"/>
      <c r="V135" s="286"/>
      <c r="W135" s="286"/>
      <c r="X135" s="430"/>
      <c r="Y135" s="432"/>
      <c r="Z135" s="441">
        <f t="shared" si="55"/>
        <v>8.678368</v>
      </c>
      <c r="AA135" s="336">
        <f t="shared" si="55"/>
        <v>8.678</v>
      </c>
      <c r="AB135" s="445">
        <f t="shared" si="56"/>
        <v>8.678368</v>
      </c>
      <c r="AC135" s="445">
        <f t="shared" si="56"/>
        <v>8.678</v>
      </c>
      <c r="AD135" s="385"/>
      <c r="AE135" s="363"/>
      <c r="AF135" s="363"/>
      <c r="AG135" s="363"/>
      <c r="AH135" s="363"/>
      <c r="AI135" s="363"/>
      <c r="AJ135" s="363"/>
      <c r="AK135" s="363"/>
      <c r="AL135" s="363"/>
      <c r="AM135" s="363"/>
      <c r="AN135" s="348">
        <f t="shared" si="57"/>
        <v>0</v>
      </c>
      <c r="AO135" s="348">
        <f t="shared" si="57"/>
        <v>0</v>
      </c>
      <c r="AP135" s="349">
        <f t="shared" si="53"/>
        <v>8.678368</v>
      </c>
      <c r="AQ135" s="350">
        <f t="shared" si="54"/>
        <v>8.678</v>
      </c>
      <c r="AR135" s="272"/>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c r="CO135" s="213"/>
      <c r="CP135" s="213"/>
      <c r="CQ135" s="213"/>
      <c r="CR135" s="213"/>
      <c r="CS135" s="213"/>
      <c r="CT135" s="213"/>
      <c r="CU135" s="213"/>
      <c r="CV135" s="213"/>
      <c r="CW135" s="213"/>
      <c r="CX135" s="213"/>
      <c r="CY135" s="213"/>
      <c r="CZ135" s="214"/>
      <c r="DA135" s="214"/>
      <c r="DB135" s="214"/>
      <c r="DC135" s="214"/>
      <c r="DD135" s="214"/>
      <c r="DE135" s="214"/>
      <c r="DF135" s="214"/>
      <c r="DG135" s="214"/>
      <c r="DH135" s="214"/>
      <c r="DI135" s="214"/>
      <c r="DJ135" s="214"/>
      <c r="DK135" s="214"/>
      <c r="DL135" s="214"/>
      <c r="DM135" s="214"/>
    </row>
    <row r="136" spans="1:117" s="215" customFormat="1" ht="13.5" customHeight="1" hidden="1">
      <c r="A136" s="283">
        <v>7</v>
      </c>
      <c r="B136" s="394" t="s">
        <v>457</v>
      </c>
      <c r="C136" s="272"/>
      <c r="D136" s="272"/>
      <c r="E136" s="272"/>
      <c r="F136" s="272"/>
      <c r="G136" s="436">
        <v>56.174261</v>
      </c>
      <c r="H136" s="273"/>
      <c r="I136" s="387"/>
      <c r="J136" s="387"/>
      <c r="K136" s="387"/>
      <c r="L136" s="387"/>
      <c r="M136" s="387"/>
      <c r="N136" s="387"/>
      <c r="O136" s="387"/>
      <c r="P136" s="437"/>
      <c r="Q136" s="276"/>
      <c r="R136" s="387"/>
      <c r="S136" s="387"/>
      <c r="T136" s="286"/>
      <c r="U136" s="286"/>
      <c r="V136" s="286"/>
      <c r="W136" s="286"/>
      <c r="X136" s="430"/>
      <c r="Y136" s="452">
        <v>28</v>
      </c>
      <c r="Z136" s="441">
        <f t="shared" si="55"/>
        <v>0</v>
      </c>
      <c r="AA136" s="336">
        <f t="shared" si="55"/>
        <v>28</v>
      </c>
      <c r="AB136" s="445">
        <f t="shared" si="56"/>
        <v>0</v>
      </c>
      <c r="AC136" s="443">
        <f t="shared" si="56"/>
        <v>28</v>
      </c>
      <c r="AD136" s="385"/>
      <c r="AE136" s="363"/>
      <c r="AF136" s="363"/>
      <c r="AG136" s="363"/>
      <c r="AH136" s="363"/>
      <c r="AI136" s="363"/>
      <c r="AJ136" s="363"/>
      <c r="AK136" s="363"/>
      <c r="AL136" s="363"/>
      <c r="AM136" s="363"/>
      <c r="AN136" s="348">
        <f t="shared" si="57"/>
        <v>0</v>
      </c>
      <c r="AO136" s="348">
        <f t="shared" si="57"/>
        <v>0</v>
      </c>
      <c r="AP136" s="349">
        <f t="shared" si="53"/>
        <v>0</v>
      </c>
      <c r="AQ136" s="350">
        <f t="shared" si="54"/>
        <v>28</v>
      </c>
      <c r="AR136" s="272"/>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c r="CO136" s="213"/>
      <c r="CP136" s="213"/>
      <c r="CQ136" s="213"/>
      <c r="CR136" s="213"/>
      <c r="CS136" s="213"/>
      <c r="CT136" s="213"/>
      <c r="CU136" s="213"/>
      <c r="CV136" s="213"/>
      <c r="CW136" s="213"/>
      <c r="CX136" s="213"/>
      <c r="CY136" s="213"/>
      <c r="CZ136" s="214"/>
      <c r="DA136" s="214"/>
      <c r="DB136" s="214"/>
      <c r="DC136" s="214"/>
      <c r="DD136" s="214"/>
      <c r="DE136" s="214"/>
      <c r="DF136" s="214"/>
      <c r="DG136" s="214"/>
      <c r="DH136" s="214"/>
      <c r="DI136" s="214"/>
      <c r="DJ136" s="214"/>
      <c r="DK136" s="214"/>
      <c r="DL136" s="214"/>
      <c r="DM136" s="214"/>
    </row>
    <row r="137" spans="1:117" s="215" customFormat="1" ht="13.5" customHeight="1" hidden="1">
      <c r="A137" s="283">
        <v>8</v>
      </c>
      <c r="B137" s="442" t="s">
        <v>458</v>
      </c>
      <c r="C137" s="272"/>
      <c r="D137" s="272"/>
      <c r="E137" s="272"/>
      <c r="F137" s="272"/>
      <c r="G137" s="436">
        <v>5.13007</v>
      </c>
      <c r="H137" s="273"/>
      <c r="I137" s="387"/>
      <c r="J137" s="387"/>
      <c r="K137" s="387"/>
      <c r="L137" s="387"/>
      <c r="M137" s="387"/>
      <c r="N137" s="387"/>
      <c r="O137" s="387"/>
      <c r="P137" s="437"/>
      <c r="Q137" s="276"/>
      <c r="R137" s="387"/>
      <c r="S137" s="387"/>
      <c r="T137" s="286"/>
      <c r="U137" s="286"/>
      <c r="V137" s="286"/>
      <c r="W137" s="286"/>
      <c r="X137" s="430"/>
      <c r="Y137" s="432"/>
      <c r="Z137" s="441">
        <f t="shared" si="55"/>
        <v>0</v>
      </c>
      <c r="AA137" s="336">
        <f t="shared" si="55"/>
        <v>0</v>
      </c>
      <c r="AB137" s="445">
        <f t="shared" si="56"/>
        <v>0</v>
      </c>
      <c r="AC137" s="443">
        <f t="shared" si="56"/>
        <v>0</v>
      </c>
      <c r="AD137" s="385"/>
      <c r="AE137" s="363"/>
      <c r="AF137" s="363"/>
      <c r="AG137" s="363"/>
      <c r="AH137" s="363"/>
      <c r="AI137" s="363"/>
      <c r="AJ137" s="363"/>
      <c r="AK137" s="363"/>
      <c r="AL137" s="363"/>
      <c r="AM137" s="363"/>
      <c r="AN137" s="348">
        <f t="shared" si="57"/>
        <v>0</v>
      </c>
      <c r="AO137" s="348">
        <f t="shared" si="57"/>
        <v>0</v>
      </c>
      <c r="AP137" s="349">
        <f t="shared" si="53"/>
        <v>0</v>
      </c>
      <c r="AQ137" s="350">
        <f t="shared" si="54"/>
        <v>0</v>
      </c>
      <c r="AR137" s="272"/>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c r="CO137" s="213"/>
      <c r="CP137" s="213"/>
      <c r="CQ137" s="213"/>
      <c r="CR137" s="213"/>
      <c r="CS137" s="213"/>
      <c r="CT137" s="213"/>
      <c r="CU137" s="213"/>
      <c r="CV137" s="213"/>
      <c r="CW137" s="213"/>
      <c r="CX137" s="213"/>
      <c r="CY137" s="213"/>
      <c r="CZ137" s="214"/>
      <c r="DA137" s="214"/>
      <c r="DB137" s="214"/>
      <c r="DC137" s="214"/>
      <c r="DD137" s="214"/>
      <c r="DE137" s="214"/>
      <c r="DF137" s="214"/>
      <c r="DG137" s="214"/>
      <c r="DH137" s="214"/>
      <c r="DI137" s="214"/>
      <c r="DJ137" s="214"/>
      <c r="DK137" s="214"/>
      <c r="DL137" s="214"/>
      <c r="DM137" s="214"/>
    </row>
    <row r="138" spans="1:117" s="215" customFormat="1" ht="13.5" customHeight="1" hidden="1">
      <c r="A138" s="283">
        <v>9</v>
      </c>
      <c r="B138" s="442" t="s">
        <v>459</v>
      </c>
      <c r="C138" s="272"/>
      <c r="D138" s="272"/>
      <c r="E138" s="272"/>
      <c r="F138" s="272"/>
      <c r="G138" s="436">
        <v>7.203472</v>
      </c>
      <c r="H138" s="273"/>
      <c r="I138" s="387"/>
      <c r="J138" s="387"/>
      <c r="K138" s="387"/>
      <c r="L138" s="387"/>
      <c r="M138" s="387"/>
      <c r="N138" s="387"/>
      <c r="O138" s="387"/>
      <c r="P138" s="437"/>
      <c r="Q138" s="276"/>
      <c r="R138" s="389">
        <v>6.548</v>
      </c>
      <c r="S138" s="389">
        <v>6.548</v>
      </c>
      <c r="T138" s="286"/>
      <c r="U138" s="286"/>
      <c r="V138" s="286"/>
      <c r="W138" s="286"/>
      <c r="X138" s="430"/>
      <c r="Y138" s="432"/>
      <c r="Z138" s="441">
        <f t="shared" si="55"/>
        <v>6.548</v>
      </c>
      <c r="AA138" s="336">
        <f t="shared" si="55"/>
        <v>6.548</v>
      </c>
      <c r="AB138" s="445">
        <f t="shared" si="56"/>
        <v>6.548</v>
      </c>
      <c r="AC138" s="445">
        <f t="shared" si="56"/>
        <v>6.548</v>
      </c>
      <c r="AD138" s="385"/>
      <c r="AE138" s="363"/>
      <c r="AF138" s="363"/>
      <c r="AG138" s="363"/>
      <c r="AH138" s="363"/>
      <c r="AI138" s="363"/>
      <c r="AJ138" s="363"/>
      <c r="AK138" s="363"/>
      <c r="AL138" s="363"/>
      <c r="AM138" s="363"/>
      <c r="AN138" s="348">
        <f t="shared" si="57"/>
        <v>0</v>
      </c>
      <c r="AO138" s="348">
        <f t="shared" si="57"/>
        <v>0</v>
      </c>
      <c r="AP138" s="349">
        <f t="shared" si="53"/>
        <v>6.548</v>
      </c>
      <c r="AQ138" s="350">
        <f t="shared" si="54"/>
        <v>6.548</v>
      </c>
      <c r="AR138" s="272"/>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c r="CO138" s="213"/>
      <c r="CP138" s="213"/>
      <c r="CQ138" s="213"/>
      <c r="CR138" s="213"/>
      <c r="CS138" s="213"/>
      <c r="CT138" s="213"/>
      <c r="CU138" s="213"/>
      <c r="CV138" s="213"/>
      <c r="CW138" s="213"/>
      <c r="CX138" s="213"/>
      <c r="CY138" s="213"/>
      <c r="CZ138" s="214"/>
      <c r="DA138" s="214"/>
      <c r="DB138" s="214"/>
      <c r="DC138" s="214"/>
      <c r="DD138" s="214"/>
      <c r="DE138" s="214"/>
      <c r="DF138" s="214"/>
      <c r="DG138" s="214"/>
      <c r="DH138" s="214"/>
      <c r="DI138" s="214"/>
      <c r="DJ138" s="214"/>
      <c r="DK138" s="214"/>
      <c r="DL138" s="214"/>
      <c r="DM138" s="214"/>
    </row>
    <row r="139" spans="1:117" s="215" customFormat="1" ht="13.5" customHeight="1" hidden="1">
      <c r="A139" s="283">
        <v>10</v>
      </c>
      <c r="B139" s="393" t="s">
        <v>408</v>
      </c>
      <c r="C139" s="272"/>
      <c r="D139" s="272"/>
      <c r="E139" s="272"/>
      <c r="F139" s="272"/>
      <c r="G139" s="436">
        <v>48.137872</v>
      </c>
      <c r="H139" s="273"/>
      <c r="I139" s="387"/>
      <c r="J139" s="387"/>
      <c r="K139" s="387"/>
      <c r="L139" s="387"/>
      <c r="M139" s="387"/>
      <c r="N139" s="387"/>
      <c r="O139" s="387"/>
      <c r="P139" s="437"/>
      <c r="Q139" s="276"/>
      <c r="R139" s="387"/>
      <c r="S139" s="286"/>
      <c r="T139" s="286"/>
      <c r="U139" s="286"/>
      <c r="V139" s="286">
        <v>48.137</v>
      </c>
      <c r="W139" s="286"/>
      <c r="X139" s="430"/>
      <c r="Y139" s="432">
        <v>48.14</v>
      </c>
      <c r="Z139" s="441">
        <f t="shared" si="55"/>
        <v>48.137</v>
      </c>
      <c r="AA139" s="441">
        <f t="shared" si="55"/>
        <v>48.14</v>
      </c>
      <c r="AB139" s="445">
        <f t="shared" si="56"/>
        <v>48.137</v>
      </c>
      <c r="AC139" s="443">
        <f t="shared" si="56"/>
        <v>48.14</v>
      </c>
      <c r="AD139" s="385"/>
      <c r="AE139" s="363"/>
      <c r="AF139" s="363"/>
      <c r="AG139" s="363"/>
      <c r="AH139" s="363"/>
      <c r="AI139" s="363"/>
      <c r="AJ139" s="363"/>
      <c r="AK139" s="363"/>
      <c r="AL139" s="363"/>
      <c r="AM139" s="363"/>
      <c r="AN139" s="348">
        <f t="shared" si="57"/>
        <v>0</v>
      </c>
      <c r="AO139" s="348">
        <f t="shared" si="57"/>
        <v>0</v>
      </c>
      <c r="AP139" s="349">
        <f t="shared" si="53"/>
        <v>48.137</v>
      </c>
      <c r="AQ139" s="350">
        <f t="shared" si="54"/>
        <v>48.14</v>
      </c>
      <c r="AR139" s="272"/>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c r="CO139" s="213"/>
      <c r="CP139" s="213"/>
      <c r="CQ139" s="213"/>
      <c r="CR139" s="213"/>
      <c r="CS139" s="213"/>
      <c r="CT139" s="213"/>
      <c r="CU139" s="213"/>
      <c r="CV139" s="213"/>
      <c r="CW139" s="213"/>
      <c r="CX139" s="213"/>
      <c r="CY139" s="213"/>
      <c r="CZ139" s="214"/>
      <c r="DA139" s="214"/>
      <c r="DB139" s="214"/>
      <c r="DC139" s="214"/>
      <c r="DD139" s="214"/>
      <c r="DE139" s="214"/>
      <c r="DF139" s="214"/>
      <c r="DG139" s="214"/>
      <c r="DH139" s="214"/>
      <c r="DI139" s="214"/>
      <c r="DJ139" s="214"/>
      <c r="DK139" s="214"/>
      <c r="DL139" s="214"/>
      <c r="DM139" s="214"/>
    </row>
    <row r="140" spans="1:117" s="215" customFormat="1" ht="13.5" customHeight="1" hidden="1">
      <c r="A140" s="283">
        <v>11</v>
      </c>
      <c r="B140" s="393" t="s">
        <v>460</v>
      </c>
      <c r="C140" s="272"/>
      <c r="D140" s="272"/>
      <c r="E140" s="272"/>
      <c r="F140" s="272"/>
      <c r="G140" s="436">
        <v>0.99142</v>
      </c>
      <c r="H140" s="273"/>
      <c r="I140" s="387"/>
      <c r="J140" s="387"/>
      <c r="K140" s="387"/>
      <c r="L140" s="387"/>
      <c r="M140" s="387"/>
      <c r="N140" s="387"/>
      <c r="O140" s="387"/>
      <c r="P140" s="437"/>
      <c r="Q140" s="276"/>
      <c r="R140" s="387"/>
      <c r="S140" s="286"/>
      <c r="T140" s="286"/>
      <c r="U140" s="286"/>
      <c r="V140" s="286"/>
      <c r="W140" s="286"/>
      <c r="X140" s="430"/>
      <c r="Y140" s="430"/>
      <c r="Z140" s="441">
        <f t="shared" si="55"/>
        <v>0</v>
      </c>
      <c r="AA140" s="441">
        <f t="shared" si="55"/>
        <v>0</v>
      </c>
      <c r="AB140" s="445">
        <f t="shared" si="56"/>
        <v>0</v>
      </c>
      <c r="AC140" s="443">
        <f t="shared" si="56"/>
        <v>0</v>
      </c>
      <c r="AD140" s="385"/>
      <c r="AE140" s="363"/>
      <c r="AF140" s="363"/>
      <c r="AG140" s="363"/>
      <c r="AH140" s="363"/>
      <c r="AI140" s="363"/>
      <c r="AJ140" s="363"/>
      <c r="AK140" s="363"/>
      <c r="AL140" s="363"/>
      <c r="AM140" s="363"/>
      <c r="AN140" s="348">
        <f t="shared" si="57"/>
        <v>0</v>
      </c>
      <c r="AO140" s="348">
        <f t="shared" si="57"/>
        <v>0</v>
      </c>
      <c r="AP140" s="349">
        <f t="shared" si="53"/>
        <v>0</v>
      </c>
      <c r="AQ140" s="350">
        <f t="shared" si="54"/>
        <v>0</v>
      </c>
      <c r="AR140" s="272"/>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c r="CO140" s="213"/>
      <c r="CP140" s="213"/>
      <c r="CQ140" s="213"/>
      <c r="CR140" s="213"/>
      <c r="CS140" s="213"/>
      <c r="CT140" s="213"/>
      <c r="CU140" s="213"/>
      <c r="CV140" s="213"/>
      <c r="CW140" s="213"/>
      <c r="CX140" s="213"/>
      <c r="CY140" s="213"/>
      <c r="CZ140" s="214"/>
      <c r="DA140" s="214"/>
      <c r="DB140" s="214"/>
      <c r="DC140" s="214"/>
      <c r="DD140" s="214"/>
      <c r="DE140" s="214"/>
      <c r="DF140" s="214"/>
      <c r="DG140" s="214"/>
      <c r="DH140" s="214"/>
      <c r="DI140" s="214"/>
      <c r="DJ140" s="214"/>
      <c r="DK140" s="214"/>
      <c r="DL140" s="214"/>
      <c r="DM140" s="214"/>
    </row>
    <row r="141" spans="1:117" s="215" customFormat="1" ht="13.5" customHeight="1" hidden="1">
      <c r="A141" s="283">
        <v>12</v>
      </c>
      <c r="B141" s="393" t="s">
        <v>461</v>
      </c>
      <c r="C141" s="272"/>
      <c r="D141" s="272"/>
      <c r="E141" s="272"/>
      <c r="F141" s="272"/>
      <c r="G141" s="436">
        <v>19.8284</v>
      </c>
      <c r="H141" s="273"/>
      <c r="I141" s="387"/>
      <c r="J141" s="387"/>
      <c r="K141" s="387"/>
      <c r="L141" s="387"/>
      <c r="M141" s="387"/>
      <c r="N141" s="387"/>
      <c r="O141" s="387"/>
      <c r="P141" s="437"/>
      <c r="Q141" s="276"/>
      <c r="R141" s="387"/>
      <c r="S141" s="286"/>
      <c r="T141" s="286"/>
      <c r="U141" s="286"/>
      <c r="V141" s="286"/>
      <c r="W141" s="286"/>
      <c r="X141" s="430"/>
      <c r="Y141" s="430"/>
      <c r="Z141" s="441">
        <f t="shared" si="55"/>
        <v>0</v>
      </c>
      <c r="AA141" s="441">
        <f t="shared" si="55"/>
        <v>0</v>
      </c>
      <c r="AB141" s="445">
        <f t="shared" si="56"/>
        <v>0</v>
      </c>
      <c r="AC141" s="443">
        <f t="shared" si="56"/>
        <v>0</v>
      </c>
      <c r="AD141" s="385"/>
      <c r="AE141" s="363"/>
      <c r="AF141" s="363"/>
      <c r="AG141" s="363"/>
      <c r="AH141" s="363"/>
      <c r="AI141" s="363"/>
      <c r="AJ141" s="363"/>
      <c r="AK141" s="363"/>
      <c r="AL141" s="363"/>
      <c r="AM141" s="363"/>
      <c r="AN141" s="348">
        <f t="shared" si="57"/>
        <v>0</v>
      </c>
      <c r="AO141" s="348">
        <f t="shared" si="57"/>
        <v>0</v>
      </c>
      <c r="AP141" s="349">
        <f t="shared" si="53"/>
        <v>0</v>
      </c>
      <c r="AQ141" s="350">
        <f t="shared" si="54"/>
        <v>0</v>
      </c>
      <c r="AR141" s="272"/>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c r="CO141" s="213"/>
      <c r="CP141" s="213"/>
      <c r="CQ141" s="213"/>
      <c r="CR141" s="213"/>
      <c r="CS141" s="213"/>
      <c r="CT141" s="213"/>
      <c r="CU141" s="213"/>
      <c r="CV141" s="213"/>
      <c r="CW141" s="213"/>
      <c r="CX141" s="213"/>
      <c r="CY141" s="213"/>
      <c r="CZ141" s="214"/>
      <c r="DA141" s="214"/>
      <c r="DB141" s="214"/>
      <c r="DC141" s="214"/>
      <c r="DD141" s="214"/>
      <c r="DE141" s="214"/>
      <c r="DF141" s="214"/>
      <c r="DG141" s="214"/>
      <c r="DH141" s="214"/>
      <c r="DI141" s="214"/>
      <c r="DJ141" s="214"/>
      <c r="DK141" s="214"/>
      <c r="DL141" s="214"/>
      <c r="DM141" s="214"/>
    </row>
    <row r="142" spans="1:117" s="215" customFormat="1" ht="18" customHeight="1" hidden="1">
      <c r="A142" s="283">
        <v>13</v>
      </c>
      <c r="B142" s="393" t="s">
        <v>417</v>
      </c>
      <c r="C142" s="272"/>
      <c r="D142" s="272"/>
      <c r="E142" s="272"/>
      <c r="F142" s="272"/>
      <c r="G142" s="436">
        <v>474.334604</v>
      </c>
      <c r="H142" s="273"/>
      <c r="I142" s="387"/>
      <c r="J142" s="387"/>
      <c r="K142" s="387"/>
      <c r="L142" s="387"/>
      <c r="M142" s="387"/>
      <c r="N142" s="387"/>
      <c r="O142" s="387"/>
      <c r="P142" s="437"/>
      <c r="Q142" s="276"/>
      <c r="R142" s="387"/>
      <c r="S142" s="286"/>
      <c r="T142" s="286"/>
      <c r="U142" s="286"/>
      <c r="V142" s="286"/>
      <c r="W142" s="286"/>
      <c r="X142" s="430"/>
      <c r="Y142" s="430"/>
      <c r="Z142" s="441">
        <f>R142+T142+V142+X142</f>
        <v>0</v>
      </c>
      <c r="AA142" s="441">
        <f t="shared" si="55"/>
        <v>0</v>
      </c>
      <c r="AB142" s="445">
        <f t="shared" si="56"/>
        <v>0</v>
      </c>
      <c r="AC142" s="443">
        <f t="shared" si="56"/>
        <v>0</v>
      </c>
      <c r="AD142" s="385"/>
      <c r="AE142" s="363"/>
      <c r="AF142" s="363"/>
      <c r="AG142" s="363"/>
      <c r="AH142" s="363"/>
      <c r="AI142" s="363"/>
      <c r="AJ142" s="363"/>
      <c r="AK142" s="363"/>
      <c r="AL142" s="363"/>
      <c r="AM142" s="363"/>
      <c r="AN142" s="348">
        <f t="shared" si="57"/>
        <v>0</v>
      </c>
      <c r="AO142" s="348">
        <f t="shared" si="57"/>
        <v>0</v>
      </c>
      <c r="AP142" s="349">
        <f t="shared" si="53"/>
        <v>0</v>
      </c>
      <c r="AQ142" s="350">
        <f t="shared" si="54"/>
        <v>0</v>
      </c>
      <c r="AR142" s="272"/>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c r="CO142" s="213"/>
      <c r="CP142" s="213"/>
      <c r="CQ142" s="213"/>
      <c r="CR142" s="213"/>
      <c r="CS142" s="213"/>
      <c r="CT142" s="213"/>
      <c r="CU142" s="213"/>
      <c r="CV142" s="213"/>
      <c r="CW142" s="213"/>
      <c r="CX142" s="213"/>
      <c r="CY142" s="213"/>
      <c r="CZ142" s="214"/>
      <c r="DA142" s="214"/>
      <c r="DB142" s="214"/>
      <c r="DC142" s="214"/>
      <c r="DD142" s="214"/>
      <c r="DE142" s="214"/>
      <c r="DF142" s="214"/>
      <c r="DG142" s="214"/>
      <c r="DH142" s="214"/>
      <c r="DI142" s="214"/>
      <c r="DJ142" s="214"/>
      <c r="DK142" s="214"/>
      <c r="DL142" s="214"/>
      <c r="DM142" s="214"/>
    </row>
    <row r="143" spans="1:117" s="215" customFormat="1" ht="45">
      <c r="A143" s="273">
        <v>17</v>
      </c>
      <c r="B143" s="414" t="s">
        <v>472</v>
      </c>
      <c r="C143" s="272" t="s">
        <v>473</v>
      </c>
      <c r="D143" s="272"/>
      <c r="E143" s="272"/>
      <c r="F143" s="272" t="s">
        <v>474</v>
      </c>
      <c r="G143" s="417">
        <f>SUM(G144:G158)</f>
        <v>10000</v>
      </c>
      <c r="H143" s="290">
        <f>SUM(H144:H158)</f>
        <v>0</v>
      </c>
      <c r="I143" s="290">
        <f>SUM(I144:I158)</f>
        <v>0</v>
      </c>
      <c r="J143" s="290"/>
      <c r="K143" s="290"/>
      <c r="L143" s="290">
        <v>500</v>
      </c>
      <c r="M143" s="290">
        <v>150</v>
      </c>
      <c r="N143" s="290">
        <f>SUM(N144:N158)</f>
        <v>0</v>
      </c>
      <c r="O143" s="290">
        <f>SUM(O144:O158)</f>
        <v>0</v>
      </c>
      <c r="P143" s="289">
        <v>500</v>
      </c>
      <c r="Q143" s="339">
        <f>J143+K143+L143+M143</f>
        <v>650</v>
      </c>
      <c r="R143" s="290">
        <f>SUM(R144:R158)</f>
        <v>0</v>
      </c>
      <c r="S143" s="290">
        <f aca="true" t="shared" si="58" ref="S143:AQ143">SUM(S144:S158)</f>
        <v>0</v>
      </c>
      <c r="T143" s="290">
        <f t="shared" si="58"/>
        <v>0</v>
      </c>
      <c r="U143" s="290">
        <f t="shared" si="58"/>
        <v>0</v>
      </c>
      <c r="V143" s="290">
        <f t="shared" si="58"/>
        <v>0</v>
      </c>
      <c r="W143" s="290">
        <f t="shared" si="58"/>
        <v>0</v>
      </c>
      <c r="X143" s="290">
        <f t="shared" si="58"/>
        <v>367.705852</v>
      </c>
      <c r="Y143" s="391">
        <f t="shared" si="58"/>
        <v>200</v>
      </c>
      <c r="Z143" s="290">
        <f t="shared" si="58"/>
        <v>367.705852</v>
      </c>
      <c r="AA143" s="290">
        <f t="shared" si="58"/>
        <v>200</v>
      </c>
      <c r="AB143" s="346">
        <f t="shared" si="58"/>
        <v>619.582852</v>
      </c>
      <c r="AC143" s="290">
        <f t="shared" si="58"/>
        <v>500</v>
      </c>
      <c r="AD143" s="290">
        <v>150</v>
      </c>
      <c r="AE143" s="290">
        <f>AD143+AC143</f>
        <v>650</v>
      </c>
      <c r="AF143" s="290">
        <f t="shared" si="58"/>
        <v>0</v>
      </c>
      <c r="AG143" s="290">
        <f t="shared" si="58"/>
        <v>0</v>
      </c>
      <c r="AH143" s="290">
        <f t="shared" si="58"/>
        <v>424.079</v>
      </c>
      <c r="AI143" s="290">
        <f t="shared" si="58"/>
        <v>150</v>
      </c>
      <c r="AJ143" s="290">
        <f t="shared" si="58"/>
        <v>0</v>
      </c>
      <c r="AK143" s="290">
        <f t="shared" si="58"/>
        <v>0</v>
      </c>
      <c r="AL143" s="290">
        <f t="shared" si="58"/>
        <v>0</v>
      </c>
      <c r="AM143" s="290">
        <f t="shared" si="58"/>
        <v>0</v>
      </c>
      <c r="AN143" s="391">
        <f t="shared" si="58"/>
        <v>424.079</v>
      </c>
      <c r="AO143" s="417">
        <f t="shared" si="58"/>
        <v>150</v>
      </c>
      <c r="AP143" s="417">
        <f>SUM(AP144:AP158)</f>
        <v>1043.6618520000002</v>
      </c>
      <c r="AQ143" s="453">
        <f t="shared" si="58"/>
        <v>650</v>
      </c>
      <c r="AR143" s="272" t="s">
        <v>466</v>
      </c>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c r="CP143" s="213"/>
      <c r="CQ143" s="213"/>
      <c r="CR143" s="213"/>
      <c r="CS143" s="213"/>
      <c r="CT143" s="213"/>
      <c r="CU143" s="213"/>
      <c r="CV143" s="213"/>
      <c r="CW143" s="213"/>
      <c r="CX143" s="213"/>
      <c r="CY143" s="213"/>
      <c r="CZ143" s="214"/>
      <c r="DA143" s="214"/>
      <c r="DB143" s="214"/>
      <c r="DC143" s="214"/>
      <c r="DD143" s="214"/>
      <c r="DE143" s="214"/>
      <c r="DF143" s="214"/>
      <c r="DG143" s="214"/>
      <c r="DH143" s="214"/>
      <c r="DI143" s="214"/>
      <c r="DJ143" s="214"/>
      <c r="DK143" s="214"/>
      <c r="DL143" s="214"/>
      <c r="DM143" s="214"/>
    </row>
    <row r="144" spans="1:117" s="215" customFormat="1" ht="12.75" hidden="1">
      <c r="A144" s="283">
        <v>1</v>
      </c>
      <c r="B144" s="394" t="s">
        <v>406</v>
      </c>
      <c r="C144" s="272"/>
      <c r="D144" s="272"/>
      <c r="E144" s="272"/>
      <c r="F144" s="272"/>
      <c r="G144" s="454">
        <v>7007.248001</v>
      </c>
      <c r="H144" s="273"/>
      <c r="I144" s="394"/>
      <c r="J144" s="394"/>
      <c r="K144" s="394"/>
      <c r="L144" s="394"/>
      <c r="M144" s="394"/>
      <c r="N144" s="394"/>
      <c r="O144" s="394"/>
      <c r="P144" s="289"/>
      <c r="Q144" s="455"/>
      <c r="R144" s="393"/>
      <c r="S144" s="393"/>
      <c r="T144" s="393"/>
      <c r="U144" s="394"/>
      <c r="V144" s="394"/>
      <c r="W144" s="394"/>
      <c r="X144" s="345"/>
      <c r="Y144" s="456"/>
      <c r="Z144" s="441">
        <f aca="true" t="shared" si="59" ref="Z144:AA173">R144+T144+V144+X144</f>
        <v>0</v>
      </c>
      <c r="AA144" s="440">
        <f t="shared" si="55"/>
        <v>0</v>
      </c>
      <c r="AB144" s="445">
        <v>251.877</v>
      </c>
      <c r="AC144" s="370">
        <v>247.938</v>
      </c>
      <c r="AD144" s="363"/>
      <c r="AE144" s="363"/>
      <c r="AF144" s="363"/>
      <c r="AG144" s="363"/>
      <c r="AH144" s="383">
        <v>264.887</v>
      </c>
      <c r="AI144" s="363">
        <v>120</v>
      </c>
      <c r="AJ144" s="363"/>
      <c r="AK144" s="363"/>
      <c r="AL144" s="363"/>
      <c r="AM144" s="363"/>
      <c r="AN144" s="348">
        <f>AF144+AH144+AJ144+AL144</f>
        <v>264.887</v>
      </c>
      <c r="AO144" s="457">
        <f>AG144+AI144+AK144+AM144</f>
        <v>120</v>
      </c>
      <c r="AP144" s="458">
        <f aca="true" t="shared" si="60" ref="AP144:AP158">AN144+AB144</f>
        <v>516.764</v>
      </c>
      <c r="AQ144" s="459">
        <f aca="true" t="shared" si="61" ref="AQ144:AQ158">AO144+AC144</f>
        <v>367.938</v>
      </c>
      <c r="AR144" s="27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c r="CZ144" s="214"/>
      <c r="DA144" s="214"/>
      <c r="DB144" s="214"/>
      <c r="DC144" s="214"/>
      <c r="DD144" s="214"/>
      <c r="DE144" s="214"/>
      <c r="DF144" s="214"/>
      <c r="DG144" s="214"/>
      <c r="DH144" s="214"/>
      <c r="DI144" s="214"/>
      <c r="DJ144" s="214"/>
      <c r="DK144" s="214"/>
      <c r="DL144" s="214"/>
      <c r="DM144" s="214"/>
    </row>
    <row r="145" spans="1:117" s="215" customFormat="1" ht="12.75" hidden="1">
      <c r="A145" s="283">
        <v>2</v>
      </c>
      <c r="B145" s="393" t="s">
        <v>408</v>
      </c>
      <c r="C145" s="272"/>
      <c r="D145" s="272"/>
      <c r="E145" s="272"/>
      <c r="F145" s="272"/>
      <c r="G145" s="454">
        <v>159.192565</v>
      </c>
      <c r="H145" s="273"/>
      <c r="I145" s="394"/>
      <c r="J145" s="394"/>
      <c r="K145" s="394"/>
      <c r="L145" s="394"/>
      <c r="M145" s="394"/>
      <c r="N145" s="394"/>
      <c r="O145" s="394"/>
      <c r="P145" s="289"/>
      <c r="Q145" s="455"/>
      <c r="R145" s="393"/>
      <c r="S145" s="393"/>
      <c r="T145" s="393"/>
      <c r="U145" s="394"/>
      <c r="V145" s="394"/>
      <c r="W145" s="394"/>
      <c r="X145" s="345"/>
      <c r="Y145" s="345"/>
      <c r="Z145" s="441">
        <f t="shared" si="59"/>
        <v>0</v>
      </c>
      <c r="AA145" s="440">
        <f t="shared" si="55"/>
        <v>0</v>
      </c>
      <c r="AB145" s="445">
        <f aca="true" t="shared" si="62" ref="AB145:AC158">Z145</f>
        <v>0</v>
      </c>
      <c r="AC145" s="443">
        <f t="shared" si="56"/>
        <v>0</v>
      </c>
      <c r="AD145" s="363"/>
      <c r="AE145" s="363"/>
      <c r="AF145" s="363"/>
      <c r="AG145" s="363"/>
      <c r="AH145" s="363">
        <v>159.192</v>
      </c>
      <c r="AI145" s="363">
        <v>30</v>
      </c>
      <c r="AJ145" s="363"/>
      <c r="AK145" s="363"/>
      <c r="AL145" s="363"/>
      <c r="AM145" s="363"/>
      <c r="AN145" s="348">
        <f aca="true" t="shared" si="63" ref="AN145:AO158">AF145+AH145+AJ145+AL145</f>
        <v>159.192</v>
      </c>
      <c r="AO145" s="457">
        <f t="shared" si="63"/>
        <v>30</v>
      </c>
      <c r="AP145" s="458">
        <f t="shared" si="60"/>
        <v>159.192</v>
      </c>
      <c r="AQ145" s="459">
        <f t="shared" si="61"/>
        <v>30</v>
      </c>
      <c r="AR145" s="27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c r="CO145" s="213"/>
      <c r="CP145" s="213"/>
      <c r="CQ145" s="213"/>
      <c r="CR145" s="213"/>
      <c r="CS145" s="213"/>
      <c r="CT145" s="213"/>
      <c r="CU145" s="213"/>
      <c r="CV145" s="213"/>
      <c r="CW145" s="213"/>
      <c r="CX145" s="213"/>
      <c r="CY145" s="213"/>
      <c r="CZ145" s="214"/>
      <c r="DA145" s="214"/>
      <c r="DB145" s="214"/>
      <c r="DC145" s="214"/>
      <c r="DD145" s="214"/>
      <c r="DE145" s="214"/>
      <c r="DF145" s="214"/>
      <c r="DG145" s="214"/>
      <c r="DH145" s="214"/>
      <c r="DI145" s="214"/>
      <c r="DJ145" s="214"/>
      <c r="DK145" s="214"/>
      <c r="DL145" s="214"/>
      <c r="DM145" s="214"/>
    </row>
    <row r="146" spans="1:117" s="215" customFormat="1" ht="12.75" hidden="1">
      <c r="A146" s="283">
        <v>3</v>
      </c>
      <c r="B146" s="394" t="s">
        <v>475</v>
      </c>
      <c r="C146" s="272"/>
      <c r="D146" s="272"/>
      <c r="E146" s="272"/>
      <c r="F146" s="272"/>
      <c r="G146" s="454">
        <v>126.634204</v>
      </c>
      <c r="H146" s="273"/>
      <c r="I146" s="394"/>
      <c r="J146" s="394"/>
      <c r="K146" s="394"/>
      <c r="L146" s="394"/>
      <c r="M146" s="394"/>
      <c r="N146" s="394"/>
      <c r="O146" s="394"/>
      <c r="P146" s="289"/>
      <c r="Q146" s="455"/>
      <c r="R146" s="393"/>
      <c r="S146" s="393"/>
      <c r="T146" s="393"/>
      <c r="U146" s="394"/>
      <c r="V146" s="394"/>
      <c r="W146" s="394"/>
      <c r="X146" s="354">
        <v>126.634</v>
      </c>
      <c r="Y146" s="452">
        <v>100</v>
      </c>
      <c r="Z146" s="441">
        <f t="shared" si="59"/>
        <v>126.634</v>
      </c>
      <c r="AA146" s="440">
        <f t="shared" si="55"/>
        <v>100</v>
      </c>
      <c r="AB146" s="445">
        <f t="shared" si="62"/>
        <v>126.634</v>
      </c>
      <c r="AC146" s="443">
        <f t="shared" si="56"/>
        <v>100</v>
      </c>
      <c r="AD146" s="363"/>
      <c r="AE146" s="363"/>
      <c r="AF146" s="363"/>
      <c r="AG146" s="363"/>
      <c r="AH146" s="363"/>
      <c r="AI146" s="363"/>
      <c r="AJ146" s="363"/>
      <c r="AK146" s="363"/>
      <c r="AL146" s="363"/>
      <c r="AM146" s="363"/>
      <c r="AN146" s="348">
        <f t="shared" si="63"/>
        <v>0</v>
      </c>
      <c r="AO146" s="457">
        <f t="shared" si="63"/>
        <v>0</v>
      </c>
      <c r="AP146" s="458">
        <f t="shared" si="60"/>
        <v>126.634</v>
      </c>
      <c r="AQ146" s="459">
        <f t="shared" si="61"/>
        <v>100</v>
      </c>
      <c r="AR146" s="27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c r="CO146" s="213"/>
      <c r="CP146" s="213"/>
      <c r="CQ146" s="213"/>
      <c r="CR146" s="213"/>
      <c r="CS146" s="213"/>
      <c r="CT146" s="213"/>
      <c r="CU146" s="213"/>
      <c r="CV146" s="213"/>
      <c r="CW146" s="213"/>
      <c r="CX146" s="213"/>
      <c r="CY146" s="213"/>
      <c r="CZ146" s="214"/>
      <c r="DA146" s="214"/>
      <c r="DB146" s="214"/>
      <c r="DC146" s="214"/>
      <c r="DD146" s="214"/>
      <c r="DE146" s="214"/>
      <c r="DF146" s="214"/>
      <c r="DG146" s="214"/>
      <c r="DH146" s="214"/>
      <c r="DI146" s="214"/>
      <c r="DJ146" s="214"/>
      <c r="DK146" s="214"/>
      <c r="DL146" s="214"/>
      <c r="DM146" s="214"/>
    </row>
    <row r="147" spans="1:117" s="215" customFormat="1" ht="12.75" hidden="1">
      <c r="A147" s="283">
        <v>4</v>
      </c>
      <c r="B147" s="442" t="s">
        <v>476</v>
      </c>
      <c r="C147" s="272"/>
      <c r="D147" s="272"/>
      <c r="E147" s="272"/>
      <c r="F147" s="272"/>
      <c r="G147" s="454">
        <v>189.008298</v>
      </c>
      <c r="H147" s="273"/>
      <c r="I147" s="394"/>
      <c r="J147" s="394"/>
      <c r="K147" s="394"/>
      <c r="L147" s="394"/>
      <c r="M147" s="394"/>
      <c r="N147" s="394"/>
      <c r="O147" s="394"/>
      <c r="P147" s="289"/>
      <c r="Q147" s="455"/>
      <c r="R147" s="393"/>
      <c r="S147" s="393"/>
      <c r="T147" s="393"/>
      <c r="U147" s="394"/>
      <c r="V147" s="394"/>
      <c r="W147" s="394"/>
      <c r="X147" s="354">
        <v>189.008</v>
      </c>
      <c r="Y147" s="452">
        <v>100</v>
      </c>
      <c r="Z147" s="441">
        <f t="shared" si="59"/>
        <v>189.008</v>
      </c>
      <c r="AA147" s="440">
        <f t="shared" si="59"/>
        <v>100</v>
      </c>
      <c r="AB147" s="445">
        <f t="shared" si="62"/>
        <v>189.008</v>
      </c>
      <c r="AC147" s="443">
        <f t="shared" si="62"/>
        <v>100</v>
      </c>
      <c r="AD147" s="363"/>
      <c r="AE147" s="363"/>
      <c r="AF147" s="363"/>
      <c r="AG147" s="363"/>
      <c r="AH147" s="363"/>
      <c r="AI147" s="363"/>
      <c r="AJ147" s="363"/>
      <c r="AK147" s="363"/>
      <c r="AL147" s="363"/>
      <c r="AM147" s="363"/>
      <c r="AN147" s="348">
        <f t="shared" si="63"/>
        <v>0</v>
      </c>
      <c r="AO147" s="457">
        <f t="shared" si="63"/>
        <v>0</v>
      </c>
      <c r="AP147" s="458">
        <f t="shared" si="60"/>
        <v>189.008</v>
      </c>
      <c r="AQ147" s="459">
        <f t="shared" si="61"/>
        <v>100</v>
      </c>
      <c r="AR147" s="27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c r="CO147" s="213"/>
      <c r="CP147" s="213"/>
      <c r="CQ147" s="213"/>
      <c r="CR147" s="213"/>
      <c r="CS147" s="213"/>
      <c r="CT147" s="213"/>
      <c r="CU147" s="213"/>
      <c r="CV147" s="213"/>
      <c r="CW147" s="213"/>
      <c r="CX147" s="213"/>
      <c r="CY147" s="213"/>
      <c r="CZ147" s="214"/>
      <c r="DA147" s="214"/>
      <c r="DB147" s="214"/>
      <c r="DC147" s="214"/>
      <c r="DD147" s="214"/>
      <c r="DE147" s="214"/>
      <c r="DF147" s="214"/>
      <c r="DG147" s="214"/>
      <c r="DH147" s="214"/>
      <c r="DI147" s="214"/>
      <c r="DJ147" s="214"/>
      <c r="DK147" s="214"/>
      <c r="DL147" s="214"/>
      <c r="DM147" s="214"/>
    </row>
    <row r="148" spans="1:117" s="215" customFormat="1" ht="22.5" hidden="1">
      <c r="A148" s="283">
        <v>5</v>
      </c>
      <c r="B148" s="442" t="s">
        <v>477</v>
      </c>
      <c r="C148" s="272"/>
      <c r="D148" s="272"/>
      <c r="E148" s="272"/>
      <c r="F148" s="272"/>
      <c r="G148" s="454">
        <v>358.24761</v>
      </c>
      <c r="H148" s="273"/>
      <c r="I148" s="394"/>
      <c r="J148" s="394"/>
      <c r="K148" s="394"/>
      <c r="L148" s="394"/>
      <c r="M148" s="394"/>
      <c r="N148" s="394"/>
      <c r="O148" s="394"/>
      <c r="P148" s="289"/>
      <c r="Q148" s="455"/>
      <c r="R148" s="393"/>
      <c r="S148" s="393"/>
      <c r="T148" s="393"/>
      <c r="U148" s="394"/>
      <c r="V148" s="394"/>
      <c r="W148" s="394"/>
      <c r="X148" s="345"/>
      <c r="Y148" s="345"/>
      <c r="Z148" s="441">
        <f t="shared" si="59"/>
        <v>0</v>
      </c>
      <c r="AA148" s="441">
        <f t="shared" si="59"/>
        <v>0</v>
      </c>
      <c r="AB148" s="445">
        <f t="shared" si="62"/>
        <v>0</v>
      </c>
      <c r="AC148" s="443">
        <f t="shared" si="62"/>
        <v>0</v>
      </c>
      <c r="AD148" s="363"/>
      <c r="AE148" s="363"/>
      <c r="AF148" s="363"/>
      <c r="AG148" s="363"/>
      <c r="AH148" s="363"/>
      <c r="AI148" s="363"/>
      <c r="AJ148" s="363"/>
      <c r="AK148" s="363"/>
      <c r="AL148" s="363"/>
      <c r="AM148" s="363"/>
      <c r="AN148" s="348">
        <f t="shared" si="63"/>
        <v>0</v>
      </c>
      <c r="AO148" s="457">
        <f t="shared" si="63"/>
        <v>0</v>
      </c>
      <c r="AP148" s="458">
        <f t="shared" si="60"/>
        <v>0</v>
      </c>
      <c r="AQ148" s="459">
        <f t="shared" si="61"/>
        <v>0</v>
      </c>
      <c r="AR148" s="27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c r="CO148" s="213"/>
      <c r="CP148" s="213"/>
      <c r="CQ148" s="213"/>
      <c r="CR148" s="213"/>
      <c r="CS148" s="213"/>
      <c r="CT148" s="213"/>
      <c r="CU148" s="213"/>
      <c r="CV148" s="213"/>
      <c r="CW148" s="213"/>
      <c r="CX148" s="213"/>
      <c r="CY148" s="213"/>
      <c r="CZ148" s="214"/>
      <c r="DA148" s="214"/>
      <c r="DB148" s="214"/>
      <c r="DC148" s="214"/>
      <c r="DD148" s="214"/>
      <c r="DE148" s="214"/>
      <c r="DF148" s="214"/>
      <c r="DG148" s="214"/>
      <c r="DH148" s="214"/>
      <c r="DI148" s="214"/>
      <c r="DJ148" s="214"/>
      <c r="DK148" s="214"/>
      <c r="DL148" s="214"/>
      <c r="DM148" s="214"/>
    </row>
    <row r="149" spans="1:117" s="215" customFormat="1" ht="22.5" hidden="1">
      <c r="A149" s="283">
        <v>6</v>
      </c>
      <c r="B149" s="442" t="s">
        <v>478</v>
      </c>
      <c r="C149" s="272"/>
      <c r="D149" s="272"/>
      <c r="E149" s="272"/>
      <c r="F149" s="272"/>
      <c r="G149" s="454">
        <v>129.10293</v>
      </c>
      <c r="H149" s="273"/>
      <c r="I149" s="394"/>
      <c r="J149" s="394"/>
      <c r="K149" s="394"/>
      <c r="L149" s="394"/>
      <c r="M149" s="394"/>
      <c r="N149" s="394"/>
      <c r="O149" s="394"/>
      <c r="P149" s="289"/>
      <c r="Q149" s="455"/>
      <c r="R149" s="393"/>
      <c r="S149" s="393"/>
      <c r="T149" s="393"/>
      <c r="U149" s="394"/>
      <c r="V149" s="394"/>
      <c r="W149" s="394"/>
      <c r="X149" s="345"/>
      <c r="Y149" s="345"/>
      <c r="Z149" s="441">
        <f t="shared" si="59"/>
        <v>0</v>
      </c>
      <c r="AA149" s="441">
        <f t="shared" si="59"/>
        <v>0</v>
      </c>
      <c r="AB149" s="445">
        <f t="shared" si="62"/>
        <v>0</v>
      </c>
      <c r="AC149" s="443">
        <f t="shared" si="62"/>
        <v>0</v>
      </c>
      <c r="AD149" s="363"/>
      <c r="AE149" s="363"/>
      <c r="AF149" s="363"/>
      <c r="AG149" s="363"/>
      <c r="AH149" s="363"/>
      <c r="AI149" s="363"/>
      <c r="AJ149" s="363"/>
      <c r="AK149" s="363"/>
      <c r="AL149" s="363"/>
      <c r="AM149" s="363"/>
      <c r="AN149" s="348">
        <f t="shared" si="63"/>
        <v>0</v>
      </c>
      <c r="AO149" s="457">
        <f t="shared" si="63"/>
        <v>0</v>
      </c>
      <c r="AP149" s="458">
        <f t="shared" si="60"/>
        <v>0</v>
      </c>
      <c r="AQ149" s="459">
        <f t="shared" si="61"/>
        <v>0</v>
      </c>
      <c r="AR149" s="27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c r="CO149" s="213"/>
      <c r="CP149" s="213"/>
      <c r="CQ149" s="213"/>
      <c r="CR149" s="213"/>
      <c r="CS149" s="213"/>
      <c r="CT149" s="213"/>
      <c r="CU149" s="213"/>
      <c r="CV149" s="213"/>
      <c r="CW149" s="213"/>
      <c r="CX149" s="213"/>
      <c r="CY149" s="213"/>
      <c r="CZ149" s="214"/>
      <c r="DA149" s="214"/>
      <c r="DB149" s="214"/>
      <c r="DC149" s="214"/>
      <c r="DD149" s="214"/>
      <c r="DE149" s="214"/>
      <c r="DF149" s="214"/>
      <c r="DG149" s="214"/>
      <c r="DH149" s="214"/>
      <c r="DI149" s="214"/>
      <c r="DJ149" s="214"/>
      <c r="DK149" s="214"/>
      <c r="DL149" s="214"/>
      <c r="DM149" s="214"/>
    </row>
    <row r="150" spans="1:117" s="215" customFormat="1" ht="12.75" hidden="1">
      <c r="A150" s="283">
        <v>7</v>
      </c>
      <c r="B150" s="442" t="s">
        <v>479</v>
      </c>
      <c r="C150" s="272"/>
      <c r="D150" s="272"/>
      <c r="E150" s="272"/>
      <c r="F150" s="272"/>
      <c r="G150" s="454">
        <v>228.646503</v>
      </c>
      <c r="H150" s="273"/>
      <c r="I150" s="394"/>
      <c r="J150" s="394"/>
      <c r="K150" s="394"/>
      <c r="L150" s="394"/>
      <c r="M150" s="394"/>
      <c r="N150" s="394"/>
      <c r="O150" s="394"/>
      <c r="P150" s="289"/>
      <c r="Q150" s="455"/>
      <c r="R150" s="393"/>
      <c r="S150" s="393"/>
      <c r="T150" s="393"/>
      <c r="U150" s="394"/>
      <c r="V150" s="394"/>
      <c r="W150" s="394"/>
      <c r="X150" s="345"/>
      <c r="Y150" s="345"/>
      <c r="Z150" s="441">
        <f t="shared" si="59"/>
        <v>0</v>
      </c>
      <c r="AA150" s="441">
        <f t="shared" si="59"/>
        <v>0</v>
      </c>
      <c r="AB150" s="445">
        <f t="shared" si="62"/>
        <v>0</v>
      </c>
      <c r="AC150" s="443">
        <f t="shared" si="62"/>
        <v>0</v>
      </c>
      <c r="AD150" s="363"/>
      <c r="AE150" s="363"/>
      <c r="AF150" s="363"/>
      <c r="AG150" s="363"/>
      <c r="AH150" s="363"/>
      <c r="AI150" s="363"/>
      <c r="AJ150" s="363"/>
      <c r="AK150" s="363"/>
      <c r="AL150" s="363"/>
      <c r="AM150" s="363"/>
      <c r="AN150" s="348">
        <f t="shared" si="63"/>
        <v>0</v>
      </c>
      <c r="AO150" s="457">
        <f t="shared" si="63"/>
        <v>0</v>
      </c>
      <c r="AP150" s="458">
        <f t="shared" si="60"/>
        <v>0</v>
      </c>
      <c r="AQ150" s="459">
        <f t="shared" si="61"/>
        <v>0</v>
      </c>
      <c r="AR150" s="27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c r="CO150" s="213"/>
      <c r="CP150" s="213"/>
      <c r="CQ150" s="213"/>
      <c r="CR150" s="213"/>
      <c r="CS150" s="213"/>
      <c r="CT150" s="213"/>
      <c r="CU150" s="213"/>
      <c r="CV150" s="213"/>
      <c r="CW150" s="213"/>
      <c r="CX150" s="213"/>
      <c r="CY150" s="213"/>
      <c r="CZ150" s="214"/>
      <c r="DA150" s="214"/>
      <c r="DB150" s="214"/>
      <c r="DC150" s="214"/>
      <c r="DD150" s="214"/>
      <c r="DE150" s="214"/>
      <c r="DF150" s="214"/>
      <c r="DG150" s="214"/>
      <c r="DH150" s="214"/>
      <c r="DI150" s="214"/>
      <c r="DJ150" s="214"/>
      <c r="DK150" s="214"/>
      <c r="DL150" s="214"/>
      <c r="DM150" s="214"/>
    </row>
    <row r="151" spans="1:117" s="215" customFormat="1" ht="22.5" hidden="1">
      <c r="A151" s="283">
        <v>8</v>
      </c>
      <c r="B151" s="442" t="s">
        <v>456</v>
      </c>
      <c r="C151" s="272"/>
      <c r="D151" s="272"/>
      <c r="E151" s="272"/>
      <c r="F151" s="272"/>
      <c r="G151" s="454">
        <v>14.43493</v>
      </c>
      <c r="H151" s="273"/>
      <c r="I151" s="394"/>
      <c r="J151" s="394"/>
      <c r="K151" s="394"/>
      <c r="L151" s="394"/>
      <c r="M151" s="394"/>
      <c r="N151" s="394"/>
      <c r="O151" s="394"/>
      <c r="P151" s="289"/>
      <c r="Q151" s="455"/>
      <c r="R151" s="393"/>
      <c r="S151" s="393"/>
      <c r="T151" s="393"/>
      <c r="U151" s="394"/>
      <c r="V151" s="394"/>
      <c r="W151" s="394"/>
      <c r="X151" s="460">
        <v>14.43493</v>
      </c>
      <c r="Y151" s="456"/>
      <c r="Z151" s="441">
        <f t="shared" si="59"/>
        <v>14.43493</v>
      </c>
      <c r="AA151" s="441">
        <f t="shared" si="59"/>
        <v>0</v>
      </c>
      <c r="AB151" s="445">
        <f t="shared" si="62"/>
        <v>14.43493</v>
      </c>
      <c r="AC151" s="446">
        <v>14.434</v>
      </c>
      <c r="AD151" s="363"/>
      <c r="AE151" s="363"/>
      <c r="AF151" s="363"/>
      <c r="AG151" s="363"/>
      <c r="AH151" s="363"/>
      <c r="AI151" s="363"/>
      <c r="AJ151" s="363"/>
      <c r="AK151" s="363"/>
      <c r="AL151" s="363"/>
      <c r="AM151" s="363"/>
      <c r="AN151" s="348">
        <f t="shared" si="63"/>
        <v>0</v>
      </c>
      <c r="AO151" s="457">
        <f t="shared" si="63"/>
        <v>0</v>
      </c>
      <c r="AP151" s="458">
        <f t="shared" si="60"/>
        <v>14.43493</v>
      </c>
      <c r="AQ151" s="459">
        <f t="shared" si="61"/>
        <v>14.434</v>
      </c>
      <c r="AR151" s="27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c r="CP151" s="213"/>
      <c r="CQ151" s="213"/>
      <c r="CR151" s="213"/>
      <c r="CS151" s="213"/>
      <c r="CT151" s="213"/>
      <c r="CU151" s="213"/>
      <c r="CV151" s="213"/>
      <c r="CW151" s="213"/>
      <c r="CX151" s="213"/>
      <c r="CY151" s="213"/>
      <c r="CZ151" s="214"/>
      <c r="DA151" s="214"/>
      <c r="DB151" s="214"/>
      <c r="DC151" s="214"/>
      <c r="DD151" s="214"/>
      <c r="DE151" s="214"/>
      <c r="DF151" s="214"/>
      <c r="DG151" s="214"/>
      <c r="DH151" s="214"/>
      <c r="DI151" s="214"/>
      <c r="DJ151" s="214"/>
      <c r="DK151" s="214"/>
      <c r="DL151" s="214"/>
      <c r="DM151" s="214"/>
    </row>
    <row r="152" spans="1:117" s="215" customFormat="1" ht="22.5" hidden="1">
      <c r="A152" s="283">
        <v>9</v>
      </c>
      <c r="B152" s="442" t="s">
        <v>480</v>
      </c>
      <c r="C152" s="272"/>
      <c r="D152" s="272"/>
      <c r="E152" s="272"/>
      <c r="F152" s="272"/>
      <c r="G152" s="454">
        <v>14.014496</v>
      </c>
      <c r="H152" s="273"/>
      <c r="I152" s="394"/>
      <c r="J152" s="394"/>
      <c r="K152" s="394"/>
      <c r="L152" s="394"/>
      <c r="M152" s="394"/>
      <c r="N152" s="394"/>
      <c r="O152" s="394"/>
      <c r="P152" s="289"/>
      <c r="Q152" s="455"/>
      <c r="R152" s="393"/>
      <c r="S152" s="393"/>
      <c r="T152" s="393"/>
      <c r="U152" s="394"/>
      <c r="V152" s="394"/>
      <c r="W152" s="394"/>
      <c r="X152" s="454">
        <v>14.014496</v>
      </c>
      <c r="Y152" s="456"/>
      <c r="Z152" s="441">
        <f t="shared" si="59"/>
        <v>14.014496</v>
      </c>
      <c r="AA152" s="441">
        <f t="shared" si="59"/>
        <v>0</v>
      </c>
      <c r="AB152" s="445">
        <f t="shared" si="62"/>
        <v>14.014496</v>
      </c>
      <c r="AC152" s="446">
        <v>14.014</v>
      </c>
      <c r="AD152" s="363"/>
      <c r="AE152" s="363"/>
      <c r="AF152" s="363"/>
      <c r="AG152" s="363"/>
      <c r="AH152" s="363"/>
      <c r="AI152" s="363"/>
      <c r="AJ152" s="363"/>
      <c r="AK152" s="363"/>
      <c r="AL152" s="363"/>
      <c r="AM152" s="363"/>
      <c r="AN152" s="348">
        <f t="shared" si="63"/>
        <v>0</v>
      </c>
      <c r="AO152" s="457">
        <f t="shared" si="63"/>
        <v>0</v>
      </c>
      <c r="AP152" s="458">
        <f t="shared" si="60"/>
        <v>14.014496</v>
      </c>
      <c r="AQ152" s="459">
        <f t="shared" si="61"/>
        <v>14.014</v>
      </c>
      <c r="AR152" s="27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c r="CO152" s="213"/>
      <c r="CP152" s="213"/>
      <c r="CQ152" s="213"/>
      <c r="CR152" s="213"/>
      <c r="CS152" s="213"/>
      <c r="CT152" s="213"/>
      <c r="CU152" s="213"/>
      <c r="CV152" s="213"/>
      <c r="CW152" s="213"/>
      <c r="CX152" s="213"/>
      <c r="CY152" s="213"/>
      <c r="CZ152" s="214"/>
      <c r="DA152" s="214"/>
      <c r="DB152" s="214"/>
      <c r="DC152" s="214"/>
      <c r="DD152" s="214"/>
      <c r="DE152" s="214"/>
      <c r="DF152" s="214"/>
      <c r="DG152" s="214"/>
      <c r="DH152" s="214"/>
      <c r="DI152" s="214"/>
      <c r="DJ152" s="214"/>
      <c r="DK152" s="214"/>
      <c r="DL152" s="214"/>
      <c r="DM152" s="214"/>
    </row>
    <row r="153" spans="1:117" s="215" customFormat="1" ht="22.5" hidden="1">
      <c r="A153" s="283">
        <v>11</v>
      </c>
      <c r="B153" s="442" t="s">
        <v>459</v>
      </c>
      <c r="C153" s="272"/>
      <c r="D153" s="272"/>
      <c r="E153" s="272"/>
      <c r="F153" s="272"/>
      <c r="G153" s="454">
        <v>23.614426</v>
      </c>
      <c r="H153" s="273"/>
      <c r="I153" s="394"/>
      <c r="J153" s="394"/>
      <c r="K153" s="394"/>
      <c r="L153" s="394"/>
      <c r="M153" s="394"/>
      <c r="N153" s="394"/>
      <c r="O153" s="394"/>
      <c r="P153" s="289"/>
      <c r="Q153" s="455"/>
      <c r="R153" s="393"/>
      <c r="S153" s="393"/>
      <c r="T153" s="393"/>
      <c r="U153" s="394"/>
      <c r="V153" s="394"/>
      <c r="W153" s="394"/>
      <c r="X153" s="454">
        <v>23.614426</v>
      </c>
      <c r="Y153" s="456"/>
      <c r="Z153" s="441">
        <f t="shared" si="59"/>
        <v>23.614426</v>
      </c>
      <c r="AA153" s="441">
        <f t="shared" si="59"/>
        <v>0</v>
      </c>
      <c r="AB153" s="445">
        <f t="shared" si="62"/>
        <v>23.614426</v>
      </c>
      <c r="AC153" s="446">
        <v>23.614</v>
      </c>
      <c r="AD153" s="363"/>
      <c r="AE153" s="363"/>
      <c r="AF153" s="363"/>
      <c r="AG153" s="363"/>
      <c r="AH153" s="363"/>
      <c r="AI153" s="363"/>
      <c r="AJ153" s="363"/>
      <c r="AK153" s="363"/>
      <c r="AL153" s="363"/>
      <c r="AM153" s="363"/>
      <c r="AN153" s="348">
        <f t="shared" si="63"/>
        <v>0</v>
      </c>
      <c r="AO153" s="457">
        <f t="shared" si="63"/>
        <v>0</v>
      </c>
      <c r="AP153" s="458">
        <f t="shared" si="60"/>
        <v>23.614426</v>
      </c>
      <c r="AQ153" s="459">
        <f t="shared" si="61"/>
        <v>23.614</v>
      </c>
      <c r="AR153" s="27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c r="CO153" s="213"/>
      <c r="CP153" s="213"/>
      <c r="CQ153" s="213"/>
      <c r="CR153" s="213"/>
      <c r="CS153" s="213"/>
      <c r="CT153" s="213"/>
      <c r="CU153" s="213"/>
      <c r="CV153" s="213"/>
      <c r="CW153" s="213"/>
      <c r="CX153" s="213"/>
      <c r="CY153" s="213"/>
      <c r="CZ153" s="214"/>
      <c r="DA153" s="214"/>
      <c r="DB153" s="214"/>
      <c r="DC153" s="214"/>
      <c r="DD153" s="214"/>
      <c r="DE153" s="214"/>
      <c r="DF153" s="214"/>
      <c r="DG153" s="214"/>
      <c r="DH153" s="214"/>
      <c r="DI153" s="214"/>
      <c r="DJ153" s="214"/>
      <c r="DK153" s="214"/>
      <c r="DL153" s="214"/>
      <c r="DM153" s="214"/>
    </row>
    <row r="154" spans="1:117" s="215" customFormat="1" ht="12.75" hidden="1">
      <c r="A154" s="283">
        <v>12</v>
      </c>
      <c r="B154" s="442" t="s">
        <v>416</v>
      </c>
      <c r="C154" s="272"/>
      <c r="D154" s="272"/>
      <c r="E154" s="272"/>
      <c r="F154" s="272"/>
      <c r="G154" s="454">
        <v>184.150478</v>
      </c>
      <c r="H154" s="273"/>
      <c r="I154" s="394"/>
      <c r="J154" s="394"/>
      <c r="K154" s="394"/>
      <c r="L154" s="394"/>
      <c r="M154" s="394"/>
      <c r="N154" s="394"/>
      <c r="O154" s="394"/>
      <c r="P154" s="289"/>
      <c r="Q154" s="455"/>
      <c r="R154" s="393"/>
      <c r="S154" s="393"/>
      <c r="T154" s="393"/>
      <c r="U154" s="394"/>
      <c r="V154" s="394"/>
      <c r="W154" s="394"/>
      <c r="X154" s="345"/>
      <c r="Y154" s="345"/>
      <c r="Z154" s="441">
        <f t="shared" si="59"/>
        <v>0</v>
      </c>
      <c r="AA154" s="441">
        <f t="shared" si="59"/>
        <v>0</v>
      </c>
      <c r="AB154" s="445">
        <f t="shared" si="62"/>
        <v>0</v>
      </c>
      <c r="AC154" s="443">
        <f t="shared" si="62"/>
        <v>0</v>
      </c>
      <c r="AD154" s="363"/>
      <c r="AE154" s="363"/>
      <c r="AF154" s="363"/>
      <c r="AG154" s="363"/>
      <c r="AH154" s="363"/>
      <c r="AI154" s="363"/>
      <c r="AJ154" s="363"/>
      <c r="AK154" s="363"/>
      <c r="AL154" s="363"/>
      <c r="AM154" s="363"/>
      <c r="AN154" s="348">
        <f t="shared" si="63"/>
        <v>0</v>
      </c>
      <c r="AO154" s="457">
        <f t="shared" si="63"/>
        <v>0</v>
      </c>
      <c r="AP154" s="458">
        <f t="shared" si="60"/>
        <v>0</v>
      </c>
      <c r="AQ154" s="459">
        <f t="shared" si="61"/>
        <v>0</v>
      </c>
      <c r="AR154" s="27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c r="CO154" s="213"/>
      <c r="CP154" s="213"/>
      <c r="CQ154" s="213"/>
      <c r="CR154" s="213"/>
      <c r="CS154" s="213"/>
      <c r="CT154" s="213"/>
      <c r="CU154" s="213"/>
      <c r="CV154" s="213"/>
      <c r="CW154" s="213"/>
      <c r="CX154" s="213"/>
      <c r="CY154" s="213"/>
      <c r="CZ154" s="214"/>
      <c r="DA154" s="214"/>
      <c r="DB154" s="214"/>
      <c r="DC154" s="214"/>
      <c r="DD154" s="214"/>
      <c r="DE154" s="214"/>
      <c r="DF154" s="214"/>
      <c r="DG154" s="214"/>
      <c r="DH154" s="214"/>
      <c r="DI154" s="214"/>
      <c r="DJ154" s="214"/>
      <c r="DK154" s="214"/>
      <c r="DL154" s="214"/>
      <c r="DM154" s="214"/>
    </row>
    <row r="155" spans="1:117" s="215" customFormat="1" ht="22.5" hidden="1">
      <c r="A155" s="283">
        <v>13</v>
      </c>
      <c r="B155" s="275" t="s">
        <v>481</v>
      </c>
      <c r="C155" s="272"/>
      <c r="D155" s="272"/>
      <c r="E155" s="272"/>
      <c r="F155" s="272"/>
      <c r="G155" s="454">
        <v>2.31</v>
      </c>
      <c r="H155" s="273"/>
      <c r="I155" s="394"/>
      <c r="J155" s="394"/>
      <c r="K155" s="394"/>
      <c r="L155" s="394"/>
      <c r="M155" s="394"/>
      <c r="N155" s="394"/>
      <c r="O155" s="394"/>
      <c r="P155" s="289"/>
      <c r="Q155" s="455"/>
      <c r="R155" s="393"/>
      <c r="S155" s="393"/>
      <c r="T155" s="393"/>
      <c r="U155" s="394"/>
      <c r="V155" s="394"/>
      <c r="W155" s="394"/>
      <c r="X155" s="345"/>
      <c r="Y155" s="345"/>
      <c r="Z155" s="441">
        <f t="shared" si="59"/>
        <v>0</v>
      </c>
      <c r="AA155" s="441">
        <f t="shared" si="59"/>
        <v>0</v>
      </c>
      <c r="AB155" s="445">
        <f t="shared" si="62"/>
        <v>0</v>
      </c>
      <c r="AC155" s="443">
        <f t="shared" si="62"/>
        <v>0</v>
      </c>
      <c r="AD155" s="363"/>
      <c r="AE155" s="363"/>
      <c r="AF155" s="363"/>
      <c r="AG155" s="363"/>
      <c r="AH155" s="363"/>
      <c r="AI155" s="363"/>
      <c r="AJ155" s="363"/>
      <c r="AK155" s="363"/>
      <c r="AL155" s="363"/>
      <c r="AM155" s="363"/>
      <c r="AN155" s="348">
        <f t="shared" si="63"/>
        <v>0</v>
      </c>
      <c r="AO155" s="457">
        <f t="shared" si="63"/>
        <v>0</v>
      </c>
      <c r="AP155" s="458">
        <f t="shared" si="60"/>
        <v>0</v>
      </c>
      <c r="AQ155" s="459">
        <f t="shared" si="61"/>
        <v>0</v>
      </c>
      <c r="AR155" s="27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c r="CZ155" s="214"/>
      <c r="DA155" s="214"/>
      <c r="DB155" s="214"/>
      <c r="DC155" s="214"/>
      <c r="DD155" s="214"/>
      <c r="DE155" s="214"/>
      <c r="DF155" s="214"/>
      <c r="DG155" s="214"/>
      <c r="DH155" s="214"/>
      <c r="DI155" s="214"/>
      <c r="DJ155" s="214"/>
      <c r="DK155" s="214"/>
      <c r="DL155" s="214"/>
      <c r="DM155" s="214"/>
    </row>
    <row r="156" spans="1:117" s="215" customFormat="1" ht="22.5" hidden="1">
      <c r="A156" s="283">
        <v>14</v>
      </c>
      <c r="B156" s="275" t="s">
        <v>482</v>
      </c>
      <c r="C156" s="272"/>
      <c r="D156" s="272"/>
      <c r="E156" s="272"/>
      <c r="F156" s="272"/>
      <c r="G156" s="454">
        <v>1</v>
      </c>
      <c r="H156" s="273"/>
      <c r="I156" s="394"/>
      <c r="J156" s="394"/>
      <c r="K156" s="394"/>
      <c r="L156" s="394"/>
      <c r="M156" s="394"/>
      <c r="N156" s="394"/>
      <c r="O156" s="394"/>
      <c r="P156" s="289"/>
      <c r="Q156" s="455"/>
      <c r="R156" s="393"/>
      <c r="S156" s="393"/>
      <c r="T156" s="393"/>
      <c r="U156" s="394"/>
      <c r="V156" s="394"/>
      <c r="W156" s="394"/>
      <c r="X156" s="345"/>
      <c r="Y156" s="345"/>
      <c r="Z156" s="441">
        <f t="shared" si="59"/>
        <v>0</v>
      </c>
      <c r="AA156" s="441">
        <f t="shared" si="59"/>
        <v>0</v>
      </c>
      <c r="AB156" s="445">
        <f t="shared" si="62"/>
        <v>0</v>
      </c>
      <c r="AC156" s="443">
        <f t="shared" si="62"/>
        <v>0</v>
      </c>
      <c r="AD156" s="363"/>
      <c r="AE156" s="363"/>
      <c r="AF156" s="363"/>
      <c r="AG156" s="363"/>
      <c r="AH156" s="363"/>
      <c r="AI156" s="363"/>
      <c r="AJ156" s="363"/>
      <c r="AK156" s="363"/>
      <c r="AL156" s="363"/>
      <c r="AM156" s="363"/>
      <c r="AN156" s="348">
        <f t="shared" si="63"/>
        <v>0</v>
      </c>
      <c r="AO156" s="348">
        <f t="shared" si="63"/>
        <v>0</v>
      </c>
      <c r="AP156" s="458">
        <f t="shared" si="60"/>
        <v>0</v>
      </c>
      <c r="AQ156" s="459">
        <f t="shared" si="61"/>
        <v>0</v>
      </c>
      <c r="AR156" s="27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c r="CO156" s="213"/>
      <c r="CP156" s="213"/>
      <c r="CQ156" s="213"/>
      <c r="CR156" s="213"/>
      <c r="CS156" s="213"/>
      <c r="CT156" s="213"/>
      <c r="CU156" s="213"/>
      <c r="CV156" s="213"/>
      <c r="CW156" s="213"/>
      <c r="CX156" s="213"/>
      <c r="CY156" s="213"/>
      <c r="CZ156" s="214"/>
      <c r="DA156" s="214"/>
      <c r="DB156" s="214"/>
      <c r="DC156" s="214"/>
      <c r="DD156" s="214"/>
      <c r="DE156" s="214"/>
      <c r="DF156" s="214"/>
      <c r="DG156" s="214"/>
      <c r="DH156" s="214"/>
      <c r="DI156" s="214"/>
      <c r="DJ156" s="214"/>
      <c r="DK156" s="214"/>
      <c r="DL156" s="214"/>
      <c r="DM156" s="214"/>
    </row>
    <row r="157" spans="1:117" s="215" customFormat="1" ht="12.75" hidden="1">
      <c r="A157" s="283">
        <v>15</v>
      </c>
      <c r="B157" s="393" t="s">
        <v>461</v>
      </c>
      <c r="C157" s="272"/>
      <c r="D157" s="272"/>
      <c r="E157" s="272"/>
      <c r="F157" s="272"/>
      <c r="G157" s="454">
        <v>28.6</v>
      </c>
      <c r="H157" s="273"/>
      <c r="I157" s="394"/>
      <c r="J157" s="394"/>
      <c r="K157" s="394"/>
      <c r="L157" s="394"/>
      <c r="M157" s="394"/>
      <c r="N157" s="394"/>
      <c r="O157" s="394"/>
      <c r="P157" s="289"/>
      <c r="Q157" s="455"/>
      <c r="R157" s="393"/>
      <c r="S157" s="393"/>
      <c r="T157" s="393"/>
      <c r="U157" s="394"/>
      <c r="V157" s="394"/>
      <c r="W157" s="394"/>
      <c r="X157" s="345"/>
      <c r="Y157" s="345"/>
      <c r="Z157" s="441">
        <f t="shared" si="59"/>
        <v>0</v>
      </c>
      <c r="AA157" s="441">
        <f t="shared" si="59"/>
        <v>0</v>
      </c>
      <c r="AB157" s="445">
        <f t="shared" si="62"/>
        <v>0</v>
      </c>
      <c r="AC157" s="443">
        <f t="shared" si="62"/>
        <v>0</v>
      </c>
      <c r="AD157" s="363"/>
      <c r="AE157" s="363"/>
      <c r="AF157" s="363"/>
      <c r="AG157" s="363"/>
      <c r="AH157" s="363"/>
      <c r="AI157" s="363"/>
      <c r="AJ157" s="363"/>
      <c r="AK157" s="363"/>
      <c r="AL157" s="363"/>
      <c r="AM157" s="363"/>
      <c r="AN157" s="348">
        <f t="shared" si="63"/>
        <v>0</v>
      </c>
      <c r="AO157" s="348">
        <f t="shared" si="63"/>
        <v>0</v>
      </c>
      <c r="AP157" s="458">
        <f t="shared" si="60"/>
        <v>0</v>
      </c>
      <c r="AQ157" s="459">
        <f t="shared" si="61"/>
        <v>0</v>
      </c>
      <c r="AR157" s="27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c r="CO157" s="213"/>
      <c r="CP157" s="213"/>
      <c r="CQ157" s="213"/>
      <c r="CR157" s="213"/>
      <c r="CS157" s="213"/>
      <c r="CT157" s="213"/>
      <c r="CU157" s="213"/>
      <c r="CV157" s="213"/>
      <c r="CW157" s="213"/>
      <c r="CX157" s="213"/>
      <c r="CY157" s="213"/>
      <c r="CZ157" s="214"/>
      <c r="DA157" s="214"/>
      <c r="DB157" s="214"/>
      <c r="DC157" s="214"/>
      <c r="DD157" s="214"/>
      <c r="DE157" s="214"/>
      <c r="DF157" s="214"/>
      <c r="DG157" s="214"/>
      <c r="DH157" s="214"/>
      <c r="DI157" s="214"/>
      <c r="DJ157" s="214"/>
      <c r="DK157" s="214"/>
      <c r="DL157" s="214"/>
      <c r="DM157" s="214"/>
    </row>
    <row r="158" spans="1:117" s="215" customFormat="1" ht="12.75" hidden="1">
      <c r="A158" s="283">
        <v>16</v>
      </c>
      <c r="B158" s="393" t="s">
        <v>417</v>
      </c>
      <c r="C158" s="272"/>
      <c r="D158" s="272"/>
      <c r="E158" s="272"/>
      <c r="F158" s="272"/>
      <c r="G158" s="454">
        <v>1533.795559</v>
      </c>
      <c r="H158" s="273"/>
      <c r="I158" s="394"/>
      <c r="J158" s="394"/>
      <c r="K158" s="394"/>
      <c r="L158" s="394"/>
      <c r="M158" s="394"/>
      <c r="N158" s="394"/>
      <c r="O158" s="394"/>
      <c r="P158" s="289"/>
      <c r="Q158" s="455"/>
      <c r="R158" s="393"/>
      <c r="S158" s="393"/>
      <c r="T158" s="393"/>
      <c r="U158" s="394"/>
      <c r="V158" s="394"/>
      <c r="W158" s="394"/>
      <c r="X158" s="345"/>
      <c r="Y158" s="345"/>
      <c r="Z158" s="441">
        <f t="shared" si="59"/>
        <v>0</v>
      </c>
      <c r="AA158" s="441">
        <f t="shared" si="59"/>
        <v>0</v>
      </c>
      <c r="AB158" s="445">
        <f t="shared" si="62"/>
        <v>0</v>
      </c>
      <c r="AC158" s="443">
        <f t="shared" si="62"/>
        <v>0</v>
      </c>
      <c r="AD158" s="363"/>
      <c r="AE158" s="363"/>
      <c r="AF158" s="363"/>
      <c r="AG158" s="363"/>
      <c r="AH158" s="363"/>
      <c r="AI158" s="363"/>
      <c r="AJ158" s="363"/>
      <c r="AK158" s="363"/>
      <c r="AL158" s="363"/>
      <c r="AM158" s="363"/>
      <c r="AN158" s="348">
        <f t="shared" si="63"/>
        <v>0</v>
      </c>
      <c r="AO158" s="348">
        <f t="shared" si="63"/>
        <v>0</v>
      </c>
      <c r="AP158" s="458">
        <f t="shared" si="60"/>
        <v>0</v>
      </c>
      <c r="AQ158" s="459">
        <f t="shared" si="61"/>
        <v>0</v>
      </c>
      <c r="AR158" s="27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c r="CO158" s="213"/>
      <c r="CP158" s="213"/>
      <c r="CQ158" s="213"/>
      <c r="CR158" s="213"/>
      <c r="CS158" s="213"/>
      <c r="CT158" s="213"/>
      <c r="CU158" s="213"/>
      <c r="CV158" s="213"/>
      <c r="CW158" s="213"/>
      <c r="CX158" s="213"/>
      <c r="CY158" s="213"/>
      <c r="CZ158" s="214"/>
      <c r="DA158" s="214"/>
      <c r="DB158" s="214"/>
      <c r="DC158" s="214"/>
      <c r="DD158" s="214"/>
      <c r="DE158" s="214"/>
      <c r="DF158" s="214"/>
      <c r="DG158" s="214"/>
      <c r="DH158" s="214"/>
      <c r="DI158" s="214"/>
      <c r="DJ158" s="214"/>
      <c r="DK158" s="214"/>
      <c r="DL158" s="214"/>
      <c r="DM158" s="214"/>
    </row>
    <row r="159" spans="1:117" s="215" customFormat="1" ht="33.75">
      <c r="A159" s="273">
        <v>18</v>
      </c>
      <c r="B159" s="414" t="s">
        <v>483</v>
      </c>
      <c r="C159" s="272" t="s">
        <v>484</v>
      </c>
      <c r="D159" s="272"/>
      <c r="E159" s="272"/>
      <c r="F159" s="272" t="s">
        <v>474</v>
      </c>
      <c r="G159" s="417">
        <f>SUM(G160:G173)</f>
        <v>6536.000001</v>
      </c>
      <c r="H159" s="290">
        <f>SUM(H160:H173)</f>
        <v>0</v>
      </c>
      <c r="I159" s="290">
        <f>SUM(I160:I173)</f>
        <v>0</v>
      </c>
      <c r="J159" s="290"/>
      <c r="K159" s="290"/>
      <c r="L159" s="290">
        <v>600</v>
      </c>
      <c r="M159" s="290">
        <v>150</v>
      </c>
      <c r="N159" s="290">
        <f>SUM(N160:N173)</f>
        <v>0</v>
      </c>
      <c r="O159" s="290">
        <f>SUM(O160:O173)</f>
        <v>0</v>
      </c>
      <c r="P159" s="289">
        <v>600</v>
      </c>
      <c r="Q159" s="339">
        <f>J159+K159+L159+M159</f>
        <v>750</v>
      </c>
      <c r="R159" s="290">
        <f aca="true" t="shared" si="64" ref="R159:AQ159">SUM(R160:R173)</f>
        <v>0</v>
      </c>
      <c r="S159" s="290">
        <f t="shared" si="64"/>
        <v>0</v>
      </c>
      <c r="T159" s="290">
        <f t="shared" si="64"/>
        <v>0</v>
      </c>
      <c r="U159" s="290">
        <f t="shared" si="64"/>
        <v>0</v>
      </c>
      <c r="V159" s="290">
        <f t="shared" si="64"/>
        <v>0</v>
      </c>
      <c r="W159" s="290">
        <f t="shared" si="64"/>
        <v>0</v>
      </c>
      <c r="X159" s="290">
        <f t="shared" si="64"/>
        <v>299.203</v>
      </c>
      <c r="Y159" s="290">
        <f t="shared" si="64"/>
        <v>200</v>
      </c>
      <c r="Z159" s="290">
        <f t="shared" si="64"/>
        <v>299.203</v>
      </c>
      <c r="AA159" s="290">
        <f t="shared" si="64"/>
        <v>200</v>
      </c>
      <c r="AB159" s="290">
        <f t="shared" si="64"/>
        <v>1097.804</v>
      </c>
      <c r="AC159" s="290">
        <f t="shared" si="64"/>
        <v>600.0000000000001</v>
      </c>
      <c r="AD159" s="290">
        <v>150</v>
      </c>
      <c r="AE159" s="290">
        <f>AC159+AD159</f>
        <v>750.0000000000001</v>
      </c>
      <c r="AF159" s="290">
        <f t="shared" si="64"/>
        <v>0</v>
      </c>
      <c r="AG159" s="290">
        <f t="shared" si="64"/>
        <v>0</v>
      </c>
      <c r="AH159" s="346">
        <f t="shared" si="64"/>
        <v>111.07</v>
      </c>
      <c r="AI159" s="290">
        <f t="shared" si="64"/>
        <v>150</v>
      </c>
      <c r="AJ159" s="290">
        <f t="shared" si="64"/>
        <v>0</v>
      </c>
      <c r="AK159" s="290">
        <f t="shared" si="64"/>
        <v>0</v>
      </c>
      <c r="AL159" s="290">
        <f t="shared" si="64"/>
        <v>0</v>
      </c>
      <c r="AM159" s="290">
        <f t="shared" si="64"/>
        <v>0</v>
      </c>
      <c r="AN159" s="391">
        <f t="shared" si="64"/>
        <v>111.07</v>
      </c>
      <c r="AO159" s="417">
        <f t="shared" si="64"/>
        <v>150</v>
      </c>
      <c r="AP159" s="416">
        <f>SUM(AP160:AP173)</f>
        <v>1208.8740000000003</v>
      </c>
      <c r="AQ159" s="453">
        <f t="shared" si="64"/>
        <v>750.0000000000001</v>
      </c>
      <c r="AR159" s="272" t="s">
        <v>466</v>
      </c>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c r="CO159" s="213"/>
      <c r="CP159" s="213"/>
      <c r="CQ159" s="213"/>
      <c r="CR159" s="213"/>
      <c r="CS159" s="213"/>
      <c r="CT159" s="213"/>
      <c r="CU159" s="213"/>
      <c r="CV159" s="213"/>
      <c r="CW159" s="213"/>
      <c r="CX159" s="213"/>
      <c r="CY159" s="213"/>
      <c r="CZ159" s="214"/>
      <c r="DA159" s="214"/>
      <c r="DB159" s="214"/>
      <c r="DC159" s="214"/>
      <c r="DD159" s="214"/>
      <c r="DE159" s="214"/>
      <c r="DF159" s="214"/>
      <c r="DG159" s="214"/>
      <c r="DH159" s="214"/>
      <c r="DI159" s="214"/>
      <c r="DJ159" s="214"/>
      <c r="DK159" s="214"/>
      <c r="DL159" s="214"/>
      <c r="DM159" s="214"/>
    </row>
    <row r="160" spans="1:117" s="196" customFormat="1" ht="12.75" hidden="1">
      <c r="A160" s="283">
        <v>1</v>
      </c>
      <c r="B160" s="394" t="s">
        <v>406</v>
      </c>
      <c r="C160" s="425"/>
      <c r="D160" s="425"/>
      <c r="E160" s="425"/>
      <c r="F160" s="425"/>
      <c r="G160" s="416">
        <v>4840.683728</v>
      </c>
      <c r="H160" s="461"/>
      <c r="I160" s="462"/>
      <c r="J160" s="462"/>
      <c r="K160" s="462"/>
      <c r="L160" s="462"/>
      <c r="M160" s="462"/>
      <c r="N160" s="462"/>
      <c r="O160" s="462"/>
      <c r="P160" s="463"/>
      <c r="Q160" s="455"/>
      <c r="R160" s="464"/>
      <c r="S160" s="464"/>
      <c r="T160" s="464"/>
      <c r="U160" s="462"/>
      <c r="V160" s="462"/>
      <c r="W160" s="462"/>
      <c r="X160" s="465"/>
      <c r="Y160" s="466"/>
      <c r="Z160" s="441">
        <f t="shared" si="59"/>
        <v>0</v>
      </c>
      <c r="AA160" s="440">
        <f t="shared" si="59"/>
        <v>0</v>
      </c>
      <c r="AB160" s="445">
        <v>798.601</v>
      </c>
      <c r="AC160" s="443">
        <v>364.035</v>
      </c>
      <c r="AD160" s="467"/>
      <c r="AE160" s="467"/>
      <c r="AF160" s="467"/>
      <c r="AG160" s="467"/>
      <c r="AH160" s="363"/>
      <c r="AI160" s="363">
        <v>120</v>
      </c>
      <c r="AJ160" s="467"/>
      <c r="AK160" s="467"/>
      <c r="AL160" s="467"/>
      <c r="AM160" s="467"/>
      <c r="AN160" s="348">
        <f>AF160+AH160+AJ160+AL160</f>
        <v>0</v>
      </c>
      <c r="AO160" s="348">
        <f>AG160+AI160+AK160+AM160</f>
        <v>120</v>
      </c>
      <c r="AP160" s="386">
        <f aca="true" t="shared" si="65" ref="AP160:AP173">AN160+AB160</f>
        <v>798.601</v>
      </c>
      <c r="AQ160" s="293">
        <f aca="true" t="shared" si="66" ref="AQ160:AQ173">AO160+AC160</f>
        <v>484.035</v>
      </c>
      <c r="AR160" s="461"/>
      <c r="AS160" s="194"/>
      <c r="AT160" s="194"/>
      <c r="AU160" s="194"/>
      <c r="AV160" s="194"/>
      <c r="AW160" s="194"/>
      <c r="AX160" s="194"/>
      <c r="AY160" s="194"/>
      <c r="AZ160" s="194"/>
      <c r="BA160" s="194"/>
      <c r="BB160" s="194"/>
      <c r="BC160" s="194"/>
      <c r="BD160" s="194"/>
      <c r="BE160" s="194"/>
      <c r="BF160" s="194"/>
      <c r="BG160" s="194"/>
      <c r="BH160" s="194"/>
      <c r="BI160" s="194"/>
      <c r="BJ160" s="194"/>
      <c r="BK160" s="194"/>
      <c r="BL160" s="194"/>
      <c r="BM160" s="194"/>
      <c r="BN160" s="194"/>
      <c r="BO160" s="194"/>
      <c r="BP160" s="194"/>
      <c r="BQ160" s="194"/>
      <c r="BR160" s="194"/>
      <c r="BS160" s="194"/>
      <c r="BT160" s="194"/>
      <c r="BU160" s="194"/>
      <c r="BV160" s="194"/>
      <c r="BW160" s="194"/>
      <c r="BX160" s="194"/>
      <c r="BY160" s="194"/>
      <c r="BZ160" s="194"/>
      <c r="CA160" s="194"/>
      <c r="CB160" s="194"/>
      <c r="CC160" s="194"/>
      <c r="CD160" s="194"/>
      <c r="CE160" s="194"/>
      <c r="CF160" s="194"/>
      <c r="CG160" s="194"/>
      <c r="CH160" s="194"/>
      <c r="CI160" s="194"/>
      <c r="CJ160" s="194"/>
      <c r="CK160" s="194"/>
      <c r="CL160" s="194"/>
      <c r="CM160" s="194"/>
      <c r="CN160" s="194"/>
      <c r="CO160" s="194"/>
      <c r="CP160" s="194"/>
      <c r="CQ160" s="194"/>
      <c r="CR160" s="194"/>
      <c r="CS160" s="194"/>
      <c r="CT160" s="194"/>
      <c r="CU160" s="194"/>
      <c r="CV160" s="194"/>
      <c r="CW160" s="194"/>
      <c r="CX160" s="194"/>
      <c r="CY160" s="194"/>
      <c r="CZ160" s="195"/>
      <c r="DA160" s="195"/>
      <c r="DB160" s="195"/>
      <c r="DC160" s="195"/>
      <c r="DD160" s="195"/>
      <c r="DE160" s="195"/>
      <c r="DF160" s="195"/>
      <c r="DG160" s="195"/>
      <c r="DH160" s="195"/>
      <c r="DI160" s="195"/>
      <c r="DJ160" s="195"/>
      <c r="DK160" s="195"/>
      <c r="DL160" s="195"/>
      <c r="DM160" s="195"/>
    </row>
    <row r="161" spans="1:117" s="196" customFormat="1" ht="12.75" hidden="1">
      <c r="A161" s="283">
        <v>2</v>
      </c>
      <c r="B161" s="393" t="s">
        <v>408</v>
      </c>
      <c r="C161" s="425"/>
      <c r="D161" s="425"/>
      <c r="E161" s="425"/>
      <c r="F161" s="425"/>
      <c r="G161" s="416">
        <v>111.071688</v>
      </c>
      <c r="H161" s="461"/>
      <c r="I161" s="462"/>
      <c r="J161" s="462"/>
      <c r="K161" s="462"/>
      <c r="L161" s="462"/>
      <c r="M161" s="462"/>
      <c r="N161" s="462"/>
      <c r="O161" s="462"/>
      <c r="P161" s="463"/>
      <c r="Q161" s="455"/>
      <c r="R161" s="464"/>
      <c r="S161" s="464"/>
      <c r="T161" s="464"/>
      <c r="U161" s="462"/>
      <c r="V161" s="462"/>
      <c r="W161" s="462"/>
      <c r="X161" s="465"/>
      <c r="Y161" s="466"/>
      <c r="Z161" s="441">
        <f t="shared" si="59"/>
        <v>0</v>
      </c>
      <c r="AA161" s="441">
        <f t="shared" si="59"/>
        <v>0</v>
      </c>
      <c r="AB161" s="445">
        <f aca="true" t="shared" si="67" ref="AB161:AC173">Z161</f>
        <v>0</v>
      </c>
      <c r="AC161" s="443">
        <f t="shared" si="67"/>
        <v>0</v>
      </c>
      <c r="AD161" s="467"/>
      <c r="AE161" s="467"/>
      <c r="AF161" s="467"/>
      <c r="AG161" s="467"/>
      <c r="AH161" s="383">
        <v>111.07</v>
      </c>
      <c r="AI161" s="363">
        <v>30</v>
      </c>
      <c r="AJ161" s="467"/>
      <c r="AK161" s="467"/>
      <c r="AL161" s="467"/>
      <c r="AM161" s="467"/>
      <c r="AN161" s="348">
        <f aca="true" t="shared" si="68" ref="AN161:AO173">AF161+AH161+AJ161+AL161</f>
        <v>111.07</v>
      </c>
      <c r="AO161" s="348">
        <f t="shared" si="68"/>
        <v>30</v>
      </c>
      <c r="AP161" s="386">
        <f t="shared" si="65"/>
        <v>111.07</v>
      </c>
      <c r="AQ161" s="293">
        <f t="shared" si="66"/>
        <v>30</v>
      </c>
      <c r="AR161" s="461"/>
      <c r="AS161" s="194"/>
      <c r="AT161" s="194"/>
      <c r="AU161" s="194"/>
      <c r="AV161" s="194"/>
      <c r="AW161" s="194"/>
      <c r="AX161" s="194"/>
      <c r="AY161" s="194"/>
      <c r="AZ161" s="194"/>
      <c r="BA161" s="194"/>
      <c r="BB161" s="194"/>
      <c r="BC161" s="194"/>
      <c r="BD161" s="194"/>
      <c r="BE161" s="194"/>
      <c r="BF161" s="194"/>
      <c r="BG161" s="194"/>
      <c r="BH161" s="194"/>
      <c r="BI161" s="194"/>
      <c r="BJ161" s="194"/>
      <c r="BK161" s="194"/>
      <c r="BL161" s="194"/>
      <c r="BM161" s="194"/>
      <c r="BN161" s="194"/>
      <c r="BO161" s="194"/>
      <c r="BP161" s="194"/>
      <c r="BQ161" s="194"/>
      <c r="BR161" s="194"/>
      <c r="BS161" s="194"/>
      <c r="BT161" s="194"/>
      <c r="BU161" s="194"/>
      <c r="BV161" s="194"/>
      <c r="BW161" s="194"/>
      <c r="BX161" s="194"/>
      <c r="BY161" s="194"/>
      <c r="BZ161" s="194"/>
      <c r="CA161" s="194"/>
      <c r="CB161" s="194"/>
      <c r="CC161" s="194"/>
      <c r="CD161" s="194"/>
      <c r="CE161" s="194"/>
      <c r="CF161" s="194"/>
      <c r="CG161" s="194"/>
      <c r="CH161" s="194"/>
      <c r="CI161" s="194"/>
      <c r="CJ161" s="194"/>
      <c r="CK161" s="194"/>
      <c r="CL161" s="194"/>
      <c r="CM161" s="194"/>
      <c r="CN161" s="194"/>
      <c r="CO161" s="194"/>
      <c r="CP161" s="194"/>
      <c r="CQ161" s="194"/>
      <c r="CR161" s="194"/>
      <c r="CS161" s="194"/>
      <c r="CT161" s="194"/>
      <c r="CU161" s="194"/>
      <c r="CV161" s="194"/>
      <c r="CW161" s="194"/>
      <c r="CX161" s="194"/>
      <c r="CY161" s="194"/>
      <c r="CZ161" s="195"/>
      <c r="DA161" s="195"/>
      <c r="DB161" s="195"/>
      <c r="DC161" s="195"/>
      <c r="DD161" s="195"/>
      <c r="DE161" s="195"/>
      <c r="DF161" s="195"/>
      <c r="DG161" s="195"/>
      <c r="DH161" s="195"/>
      <c r="DI161" s="195"/>
      <c r="DJ161" s="195"/>
      <c r="DK161" s="195"/>
      <c r="DL161" s="195"/>
      <c r="DM161" s="195"/>
    </row>
    <row r="162" spans="1:117" s="196" customFormat="1" ht="22.5" hidden="1">
      <c r="A162" s="283">
        <v>3</v>
      </c>
      <c r="B162" s="442" t="s">
        <v>485</v>
      </c>
      <c r="C162" s="425"/>
      <c r="D162" s="425"/>
      <c r="E162" s="425"/>
      <c r="F162" s="425"/>
      <c r="G162" s="416">
        <v>95.751</v>
      </c>
      <c r="H162" s="461"/>
      <c r="I162" s="462"/>
      <c r="J162" s="462"/>
      <c r="K162" s="462"/>
      <c r="L162" s="462"/>
      <c r="M162" s="462"/>
      <c r="N162" s="462"/>
      <c r="O162" s="462"/>
      <c r="P162" s="463"/>
      <c r="Q162" s="455"/>
      <c r="R162" s="464"/>
      <c r="S162" s="464"/>
      <c r="T162" s="464"/>
      <c r="U162" s="462"/>
      <c r="V162" s="462"/>
      <c r="W162" s="462"/>
      <c r="X162" s="468">
        <v>95.751</v>
      </c>
      <c r="Y162" s="354">
        <f>X162</f>
        <v>95.751</v>
      </c>
      <c r="Z162" s="441">
        <f t="shared" si="59"/>
        <v>95.751</v>
      </c>
      <c r="AA162" s="441">
        <f t="shared" si="59"/>
        <v>95.751</v>
      </c>
      <c r="AB162" s="445">
        <f t="shared" si="67"/>
        <v>95.751</v>
      </c>
      <c r="AC162" s="445">
        <f>AA162</f>
        <v>95.751</v>
      </c>
      <c r="AD162" s="467"/>
      <c r="AE162" s="467"/>
      <c r="AF162" s="467"/>
      <c r="AG162" s="467"/>
      <c r="AH162" s="467"/>
      <c r="AI162" s="467"/>
      <c r="AJ162" s="467"/>
      <c r="AK162" s="467"/>
      <c r="AL162" s="467"/>
      <c r="AM162" s="467"/>
      <c r="AN162" s="348">
        <f t="shared" si="68"/>
        <v>0</v>
      </c>
      <c r="AO162" s="348">
        <f t="shared" si="68"/>
        <v>0</v>
      </c>
      <c r="AP162" s="386">
        <f t="shared" si="65"/>
        <v>95.751</v>
      </c>
      <c r="AQ162" s="293">
        <f t="shared" si="66"/>
        <v>95.751</v>
      </c>
      <c r="AR162" s="461"/>
      <c r="AS162" s="194"/>
      <c r="AT162" s="194"/>
      <c r="AU162" s="194"/>
      <c r="AV162" s="194"/>
      <c r="AW162" s="194"/>
      <c r="AX162" s="194"/>
      <c r="AY162" s="194"/>
      <c r="AZ162" s="194"/>
      <c r="BA162" s="194"/>
      <c r="BB162" s="194"/>
      <c r="BC162" s="194"/>
      <c r="BD162" s="194"/>
      <c r="BE162" s="194"/>
      <c r="BF162" s="194"/>
      <c r="BG162" s="194"/>
      <c r="BH162" s="194"/>
      <c r="BI162" s="194"/>
      <c r="BJ162" s="194"/>
      <c r="BK162" s="194"/>
      <c r="BL162" s="194"/>
      <c r="BM162" s="194"/>
      <c r="BN162" s="194"/>
      <c r="BO162" s="194"/>
      <c r="BP162" s="194"/>
      <c r="BQ162" s="194"/>
      <c r="BR162" s="194"/>
      <c r="BS162" s="194"/>
      <c r="BT162" s="194"/>
      <c r="BU162" s="194"/>
      <c r="BV162" s="194"/>
      <c r="BW162" s="194"/>
      <c r="BX162" s="194"/>
      <c r="BY162" s="194"/>
      <c r="BZ162" s="194"/>
      <c r="CA162" s="194"/>
      <c r="CB162" s="194"/>
      <c r="CC162" s="194"/>
      <c r="CD162" s="194"/>
      <c r="CE162" s="194"/>
      <c r="CF162" s="194"/>
      <c r="CG162" s="194"/>
      <c r="CH162" s="194"/>
      <c r="CI162" s="194"/>
      <c r="CJ162" s="194"/>
      <c r="CK162" s="194"/>
      <c r="CL162" s="194"/>
      <c r="CM162" s="194"/>
      <c r="CN162" s="194"/>
      <c r="CO162" s="194"/>
      <c r="CP162" s="194"/>
      <c r="CQ162" s="194"/>
      <c r="CR162" s="194"/>
      <c r="CS162" s="194"/>
      <c r="CT162" s="194"/>
      <c r="CU162" s="194"/>
      <c r="CV162" s="194"/>
      <c r="CW162" s="194"/>
      <c r="CX162" s="194"/>
      <c r="CY162" s="194"/>
      <c r="CZ162" s="195"/>
      <c r="DA162" s="195"/>
      <c r="DB162" s="195"/>
      <c r="DC162" s="195"/>
      <c r="DD162" s="195"/>
      <c r="DE162" s="195"/>
      <c r="DF162" s="195"/>
      <c r="DG162" s="195"/>
      <c r="DH162" s="195"/>
      <c r="DI162" s="195"/>
      <c r="DJ162" s="195"/>
      <c r="DK162" s="195"/>
      <c r="DL162" s="195"/>
      <c r="DM162" s="195"/>
    </row>
    <row r="163" spans="1:117" s="196" customFormat="1" ht="22.5" hidden="1">
      <c r="A163" s="283">
        <v>4</v>
      </c>
      <c r="B163" s="442" t="s">
        <v>486</v>
      </c>
      <c r="C163" s="425"/>
      <c r="D163" s="425"/>
      <c r="E163" s="425"/>
      <c r="F163" s="425"/>
      <c r="G163" s="416">
        <v>114.602872</v>
      </c>
      <c r="H163" s="461"/>
      <c r="I163" s="462"/>
      <c r="J163" s="462"/>
      <c r="K163" s="462"/>
      <c r="L163" s="462"/>
      <c r="M163" s="462"/>
      <c r="N163" s="462"/>
      <c r="O163" s="462"/>
      <c r="P163" s="463"/>
      <c r="Q163" s="455"/>
      <c r="R163" s="464"/>
      <c r="S163" s="464"/>
      <c r="T163" s="464"/>
      <c r="U163" s="462"/>
      <c r="V163" s="462"/>
      <c r="W163" s="462"/>
      <c r="X163" s="468"/>
      <c r="Y163" s="354"/>
      <c r="Z163" s="441">
        <f t="shared" si="59"/>
        <v>0</v>
      </c>
      <c r="AA163" s="441">
        <f t="shared" si="59"/>
        <v>0</v>
      </c>
      <c r="AB163" s="445">
        <f t="shared" si="67"/>
        <v>0</v>
      </c>
      <c r="AC163" s="443">
        <f t="shared" si="67"/>
        <v>0</v>
      </c>
      <c r="AD163" s="467"/>
      <c r="AE163" s="467"/>
      <c r="AF163" s="467"/>
      <c r="AG163" s="467"/>
      <c r="AH163" s="467"/>
      <c r="AI163" s="467"/>
      <c r="AJ163" s="467"/>
      <c r="AK163" s="467"/>
      <c r="AL163" s="467"/>
      <c r="AM163" s="467"/>
      <c r="AN163" s="348">
        <f t="shared" si="68"/>
        <v>0</v>
      </c>
      <c r="AO163" s="348">
        <f t="shared" si="68"/>
        <v>0</v>
      </c>
      <c r="AP163" s="386">
        <f t="shared" si="65"/>
        <v>0</v>
      </c>
      <c r="AQ163" s="293">
        <f t="shared" si="66"/>
        <v>0</v>
      </c>
      <c r="AR163" s="461"/>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5"/>
      <c r="DA163" s="195"/>
      <c r="DB163" s="195"/>
      <c r="DC163" s="195"/>
      <c r="DD163" s="195"/>
      <c r="DE163" s="195"/>
      <c r="DF163" s="195"/>
      <c r="DG163" s="195"/>
      <c r="DH163" s="195"/>
      <c r="DI163" s="195"/>
      <c r="DJ163" s="195"/>
      <c r="DK163" s="195"/>
      <c r="DL163" s="195"/>
      <c r="DM163" s="195"/>
    </row>
    <row r="164" spans="1:117" s="196" customFormat="1" ht="22.5" hidden="1">
      <c r="A164" s="283">
        <v>6</v>
      </c>
      <c r="B164" s="442" t="s">
        <v>478</v>
      </c>
      <c r="C164" s="425"/>
      <c r="D164" s="425"/>
      <c r="E164" s="425"/>
      <c r="F164" s="425"/>
      <c r="G164" s="416">
        <v>39.219247</v>
      </c>
      <c r="H164" s="461"/>
      <c r="I164" s="462"/>
      <c r="J164" s="462"/>
      <c r="K164" s="462"/>
      <c r="L164" s="462"/>
      <c r="M164" s="462"/>
      <c r="N164" s="462"/>
      <c r="O164" s="462"/>
      <c r="P164" s="463"/>
      <c r="Q164" s="455"/>
      <c r="R164" s="464"/>
      <c r="S164" s="464"/>
      <c r="T164" s="464"/>
      <c r="U164" s="462"/>
      <c r="V164" s="462"/>
      <c r="W164" s="462"/>
      <c r="X164" s="468"/>
      <c r="Y164" s="354"/>
      <c r="Z164" s="441">
        <f t="shared" si="59"/>
        <v>0</v>
      </c>
      <c r="AA164" s="441">
        <f t="shared" si="59"/>
        <v>0</v>
      </c>
      <c r="AB164" s="445">
        <f t="shared" si="67"/>
        <v>0</v>
      </c>
      <c r="AC164" s="443">
        <f t="shared" si="67"/>
        <v>0</v>
      </c>
      <c r="AD164" s="467"/>
      <c r="AE164" s="467"/>
      <c r="AF164" s="467"/>
      <c r="AG164" s="467"/>
      <c r="AH164" s="467"/>
      <c r="AI164" s="467"/>
      <c r="AJ164" s="467"/>
      <c r="AK164" s="467"/>
      <c r="AL164" s="467"/>
      <c r="AM164" s="467"/>
      <c r="AN164" s="348">
        <f t="shared" si="68"/>
        <v>0</v>
      </c>
      <c r="AO164" s="348">
        <f t="shared" si="68"/>
        <v>0</v>
      </c>
      <c r="AP164" s="386">
        <f t="shared" si="65"/>
        <v>0</v>
      </c>
      <c r="AQ164" s="293">
        <f t="shared" si="66"/>
        <v>0</v>
      </c>
      <c r="AR164" s="461"/>
      <c r="AS164" s="194"/>
      <c r="AT164" s="194"/>
      <c r="AU164" s="194"/>
      <c r="AV164" s="194"/>
      <c r="AW164" s="194"/>
      <c r="AX164" s="194"/>
      <c r="AY164" s="194"/>
      <c r="AZ164" s="194"/>
      <c r="BA164" s="194"/>
      <c r="BB164" s="194"/>
      <c r="BC164" s="194"/>
      <c r="BD164" s="194"/>
      <c r="BE164" s="194"/>
      <c r="BF164" s="194"/>
      <c r="BG164" s="194"/>
      <c r="BH164" s="194"/>
      <c r="BI164" s="194"/>
      <c r="BJ164" s="194"/>
      <c r="BK164" s="194"/>
      <c r="BL164" s="194"/>
      <c r="BM164" s="194"/>
      <c r="BN164" s="194"/>
      <c r="BO164" s="194"/>
      <c r="BP164" s="194"/>
      <c r="BQ164" s="194"/>
      <c r="BR164" s="194"/>
      <c r="BS164" s="194"/>
      <c r="BT164" s="194"/>
      <c r="BU164" s="194"/>
      <c r="BV164" s="194"/>
      <c r="BW164" s="194"/>
      <c r="BX164" s="194"/>
      <c r="BY164" s="194"/>
      <c r="BZ164" s="194"/>
      <c r="CA164" s="194"/>
      <c r="CB164" s="194"/>
      <c r="CC164" s="194"/>
      <c r="CD164" s="194"/>
      <c r="CE164" s="194"/>
      <c r="CF164" s="194"/>
      <c r="CG164" s="194"/>
      <c r="CH164" s="194"/>
      <c r="CI164" s="194"/>
      <c r="CJ164" s="194"/>
      <c r="CK164" s="194"/>
      <c r="CL164" s="194"/>
      <c r="CM164" s="194"/>
      <c r="CN164" s="194"/>
      <c r="CO164" s="194"/>
      <c r="CP164" s="194"/>
      <c r="CQ164" s="194"/>
      <c r="CR164" s="194"/>
      <c r="CS164" s="194"/>
      <c r="CT164" s="194"/>
      <c r="CU164" s="194"/>
      <c r="CV164" s="194"/>
      <c r="CW164" s="194"/>
      <c r="CX164" s="194"/>
      <c r="CY164" s="194"/>
      <c r="CZ164" s="195"/>
      <c r="DA164" s="195"/>
      <c r="DB164" s="195"/>
      <c r="DC164" s="195"/>
      <c r="DD164" s="195"/>
      <c r="DE164" s="195"/>
      <c r="DF164" s="195"/>
      <c r="DG164" s="195"/>
      <c r="DH164" s="195"/>
      <c r="DI164" s="195"/>
      <c r="DJ164" s="195"/>
      <c r="DK164" s="195"/>
      <c r="DL164" s="195"/>
      <c r="DM164" s="195"/>
    </row>
    <row r="165" spans="1:117" s="196" customFormat="1" ht="12.75" hidden="1">
      <c r="A165" s="283">
        <v>7</v>
      </c>
      <c r="B165" s="442" t="s">
        <v>479</v>
      </c>
      <c r="C165" s="425"/>
      <c r="D165" s="425"/>
      <c r="E165" s="425"/>
      <c r="F165" s="425"/>
      <c r="G165" s="416">
        <v>167.487657</v>
      </c>
      <c r="H165" s="461"/>
      <c r="I165" s="462"/>
      <c r="J165" s="462"/>
      <c r="K165" s="462"/>
      <c r="L165" s="462"/>
      <c r="M165" s="462"/>
      <c r="N165" s="462"/>
      <c r="O165" s="462"/>
      <c r="P165" s="463"/>
      <c r="Q165" s="455"/>
      <c r="R165" s="464"/>
      <c r="S165" s="464"/>
      <c r="T165" s="464"/>
      <c r="U165" s="462"/>
      <c r="V165" s="462"/>
      <c r="W165" s="462"/>
      <c r="X165" s="468">
        <v>167.487</v>
      </c>
      <c r="Y165" s="354">
        <f>104.249</f>
        <v>104.249</v>
      </c>
      <c r="Z165" s="441">
        <f t="shared" si="59"/>
        <v>167.487</v>
      </c>
      <c r="AA165" s="441">
        <f t="shared" si="59"/>
        <v>104.249</v>
      </c>
      <c r="AB165" s="445">
        <f t="shared" si="67"/>
        <v>167.487</v>
      </c>
      <c r="AC165" s="370">
        <f t="shared" si="67"/>
        <v>104.249</v>
      </c>
      <c r="AD165" s="467"/>
      <c r="AE165" s="467"/>
      <c r="AF165" s="467"/>
      <c r="AG165" s="467"/>
      <c r="AH165" s="467"/>
      <c r="AI165" s="467"/>
      <c r="AJ165" s="467"/>
      <c r="AK165" s="467"/>
      <c r="AL165" s="467"/>
      <c r="AM165" s="467"/>
      <c r="AN165" s="348">
        <f t="shared" si="68"/>
        <v>0</v>
      </c>
      <c r="AO165" s="348">
        <f t="shared" si="68"/>
        <v>0</v>
      </c>
      <c r="AP165" s="386">
        <f t="shared" si="65"/>
        <v>167.487</v>
      </c>
      <c r="AQ165" s="293">
        <f t="shared" si="66"/>
        <v>104.249</v>
      </c>
      <c r="AR165" s="461"/>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5"/>
      <c r="DA165" s="195"/>
      <c r="DB165" s="195"/>
      <c r="DC165" s="195"/>
      <c r="DD165" s="195"/>
      <c r="DE165" s="195"/>
      <c r="DF165" s="195"/>
      <c r="DG165" s="195"/>
      <c r="DH165" s="195"/>
      <c r="DI165" s="195"/>
      <c r="DJ165" s="195"/>
      <c r="DK165" s="195"/>
      <c r="DL165" s="195"/>
      <c r="DM165" s="195"/>
    </row>
    <row r="166" spans="1:117" s="196" customFormat="1" ht="22.5" hidden="1">
      <c r="A166" s="283">
        <v>8</v>
      </c>
      <c r="B166" s="442" t="s">
        <v>456</v>
      </c>
      <c r="C166" s="425"/>
      <c r="D166" s="425"/>
      <c r="E166" s="425"/>
      <c r="F166" s="425"/>
      <c r="G166" s="416">
        <v>9.971808</v>
      </c>
      <c r="H166" s="461"/>
      <c r="I166" s="462"/>
      <c r="J166" s="462"/>
      <c r="K166" s="462"/>
      <c r="L166" s="462"/>
      <c r="M166" s="462"/>
      <c r="N166" s="462"/>
      <c r="O166" s="462"/>
      <c r="P166" s="463"/>
      <c r="Q166" s="455"/>
      <c r="R166" s="464"/>
      <c r="S166" s="464"/>
      <c r="T166" s="464"/>
      <c r="U166" s="462"/>
      <c r="V166" s="462"/>
      <c r="W166" s="462"/>
      <c r="X166" s="468">
        <v>9.971</v>
      </c>
      <c r="Y166" s="456"/>
      <c r="Z166" s="441">
        <f t="shared" si="59"/>
        <v>9.971</v>
      </c>
      <c r="AA166" s="441">
        <f t="shared" si="59"/>
        <v>0</v>
      </c>
      <c r="AB166" s="445">
        <f t="shared" si="67"/>
        <v>9.971</v>
      </c>
      <c r="AC166" s="443">
        <v>9.971</v>
      </c>
      <c r="AD166" s="467"/>
      <c r="AE166" s="467"/>
      <c r="AF166" s="467"/>
      <c r="AG166" s="467"/>
      <c r="AH166" s="467"/>
      <c r="AI166" s="467"/>
      <c r="AJ166" s="467"/>
      <c r="AK166" s="467"/>
      <c r="AL166" s="467"/>
      <c r="AM166" s="467"/>
      <c r="AN166" s="348">
        <f t="shared" si="68"/>
        <v>0</v>
      </c>
      <c r="AO166" s="348">
        <f t="shared" si="68"/>
        <v>0</v>
      </c>
      <c r="AP166" s="386">
        <f t="shared" si="65"/>
        <v>9.971</v>
      </c>
      <c r="AQ166" s="293">
        <f t="shared" si="66"/>
        <v>9.971</v>
      </c>
      <c r="AR166" s="461"/>
      <c r="AS166" s="194"/>
      <c r="AT166" s="194"/>
      <c r="AU166" s="194"/>
      <c r="AV166" s="194"/>
      <c r="AW166" s="194"/>
      <c r="AX166" s="194"/>
      <c r="AY166" s="194"/>
      <c r="AZ166" s="194"/>
      <c r="BA166" s="194"/>
      <c r="BB166" s="194"/>
      <c r="BC166" s="194"/>
      <c r="BD166" s="194"/>
      <c r="BE166" s="194"/>
      <c r="BF166" s="194"/>
      <c r="BG166" s="194"/>
      <c r="BH166" s="194"/>
      <c r="BI166" s="194"/>
      <c r="BJ166" s="194"/>
      <c r="BK166" s="194"/>
      <c r="BL166" s="194"/>
      <c r="BM166" s="194"/>
      <c r="BN166" s="194"/>
      <c r="BO166" s="194"/>
      <c r="BP166" s="194"/>
      <c r="BQ166" s="194"/>
      <c r="BR166" s="194"/>
      <c r="BS166" s="194"/>
      <c r="BT166" s="194"/>
      <c r="BU166" s="194"/>
      <c r="BV166" s="194"/>
      <c r="BW166" s="194"/>
      <c r="BX166" s="194"/>
      <c r="BY166" s="194"/>
      <c r="BZ166" s="194"/>
      <c r="CA166" s="194"/>
      <c r="CB166" s="194"/>
      <c r="CC166" s="194"/>
      <c r="CD166" s="194"/>
      <c r="CE166" s="194"/>
      <c r="CF166" s="194"/>
      <c r="CG166" s="194"/>
      <c r="CH166" s="194"/>
      <c r="CI166" s="194"/>
      <c r="CJ166" s="194"/>
      <c r="CK166" s="194"/>
      <c r="CL166" s="194"/>
      <c r="CM166" s="194"/>
      <c r="CN166" s="194"/>
      <c r="CO166" s="194"/>
      <c r="CP166" s="194"/>
      <c r="CQ166" s="194"/>
      <c r="CR166" s="194"/>
      <c r="CS166" s="194"/>
      <c r="CT166" s="194"/>
      <c r="CU166" s="194"/>
      <c r="CV166" s="194"/>
      <c r="CW166" s="194"/>
      <c r="CX166" s="194"/>
      <c r="CY166" s="194"/>
      <c r="CZ166" s="195"/>
      <c r="DA166" s="195"/>
      <c r="DB166" s="195"/>
      <c r="DC166" s="195"/>
      <c r="DD166" s="195"/>
      <c r="DE166" s="195"/>
      <c r="DF166" s="195"/>
      <c r="DG166" s="195"/>
      <c r="DH166" s="195"/>
      <c r="DI166" s="195"/>
      <c r="DJ166" s="195"/>
      <c r="DK166" s="195"/>
      <c r="DL166" s="195"/>
      <c r="DM166" s="195"/>
    </row>
    <row r="167" spans="1:117" s="196" customFormat="1" ht="22.5" hidden="1">
      <c r="A167" s="283">
        <v>9</v>
      </c>
      <c r="B167" s="442" t="s">
        <v>480</v>
      </c>
      <c r="C167" s="425"/>
      <c r="D167" s="425"/>
      <c r="E167" s="425"/>
      <c r="F167" s="425"/>
      <c r="G167" s="416">
        <v>9.681367</v>
      </c>
      <c r="H167" s="461"/>
      <c r="I167" s="462"/>
      <c r="J167" s="462"/>
      <c r="K167" s="462"/>
      <c r="L167" s="462"/>
      <c r="M167" s="462"/>
      <c r="N167" s="462"/>
      <c r="O167" s="462"/>
      <c r="P167" s="463"/>
      <c r="Q167" s="455"/>
      <c r="R167" s="464"/>
      <c r="S167" s="464"/>
      <c r="T167" s="464"/>
      <c r="U167" s="462"/>
      <c r="V167" s="462"/>
      <c r="W167" s="462"/>
      <c r="X167" s="468">
        <v>9.681</v>
      </c>
      <c r="Y167" s="456"/>
      <c r="Z167" s="441">
        <f t="shared" si="59"/>
        <v>9.681</v>
      </c>
      <c r="AA167" s="441">
        <f t="shared" si="59"/>
        <v>0</v>
      </c>
      <c r="AB167" s="445">
        <f t="shared" si="67"/>
        <v>9.681</v>
      </c>
      <c r="AC167" s="443">
        <v>9.681</v>
      </c>
      <c r="AD167" s="467"/>
      <c r="AE167" s="467"/>
      <c r="AF167" s="467"/>
      <c r="AG167" s="467"/>
      <c r="AH167" s="467"/>
      <c r="AI167" s="467"/>
      <c r="AJ167" s="467"/>
      <c r="AK167" s="467"/>
      <c r="AL167" s="467"/>
      <c r="AM167" s="467"/>
      <c r="AN167" s="348">
        <f t="shared" si="68"/>
        <v>0</v>
      </c>
      <c r="AO167" s="348">
        <f t="shared" si="68"/>
        <v>0</v>
      </c>
      <c r="AP167" s="386">
        <f t="shared" si="65"/>
        <v>9.681</v>
      </c>
      <c r="AQ167" s="293">
        <f t="shared" si="66"/>
        <v>9.681</v>
      </c>
      <c r="AR167" s="461"/>
      <c r="AS167" s="194"/>
      <c r="AT167" s="194"/>
      <c r="AU167" s="194"/>
      <c r="AV167" s="194"/>
      <c r="AW167" s="194"/>
      <c r="AX167" s="194"/>
      <c r="AY167" s="194"/>
      <c r="AZ167" s="194"/>
      <c r="BA167" s="194"/>
      <c r="BB167" s="194"/>
      <c r="BC167" s="194"/>
      <c r="BD167" s="194"/>
      <c r="BE167" s="194"/>
      <c r="BF167" s="194"/>
      <c r="BG167" s="194"/>
      <c r="BH167" s="194"/>
      <c r="BI167" s="194"/>
      <c r="BJ167" s="194"/>
      <c r="BK167" s="194"/>
      <c r="BL167" s="194"/>
      <c r="BM167" s="194"/>
      <c r="BN167" s="194"/>
      <c r="BO167" s="194"/>
      <c r="BP167" s="194"/>
      <c r="BQ167" s="194"/>
      <c r="BR167" s="194"/>
      <c r="BS167" s="194"/>
      <c r="BT167" s="194"/>
      <c r="BU167" s="194"/>
      <c r="BV167" s="194"/>
      <c r="BW167" s="194"/>
      <c r="BX167" s="194"/>
      <c r="BY167" s="194"/>
      <c r="BZ167" s="194"/>
      <c r="CA167" s="194"/>
      <c r="CB167" s="194"/>
      <c r="CC167" s="194"/>
      <c r="CD167" s="194"/>
      <c r="CE167" s="194"/>
      <c r="CF167" s="194"/>
      <c r="CG167" s="194"/>
      <c r="CH167" s="194"/>
      <c r="CI167" s="194"/>
      <c r="CJ167" s="194"/>
      <c r="CK167" s="194"/>
      <c r="CL167" s="194"/>
      <c r="CM167" s="194"/>
      <c r="CN167" s="194"/>
      <c r="CO167" s="194"/>
      <c r="CP167" s="194"/>
      <c r="CQ167" s="194"/>
      <c r="CR167" s="194"/>
      <c r="CS167" s="194"/>
      <c r="CT167" s="194"/>
      <c r="CU167" s="194"/>
      <c r="CV167" s="194"/>
      <c r="CW167" s="194"/>
      <c r="CX167" s="194"/>
      <c r="CY167" s="194"/>
      <c r="CZ167" s="195"/>
      <c r="DA167" s="195"/>
      <c r="DB167" s="195"/>
      <c r="DC167" s="195"/>
      <c r="DD167" s="195"/>
      <c r="DE167" s="195"/>
      <c r="DF167" s="195"/>
      <c r="DG167" s="195"/>
      <c r="DH167" s="195"/>
      <c r="DI167" s="195"/>
      <c r="DJ167" s="195"/>
      <c r="DK167" s="195"/>
      <c r="DL167" s="195"/>
      <c r="DM167" s="195"/>
    </row>
    <row r="168" spans="1:117" s="196" customFormat="1" ht="22.5" hidden="1">
      <c r="A168" s="283">
        <v>11</v>
      </c>
      <c r="B168" s="442" t="s">
        <v>459</v>
      </c>
      <c r="C168" s="425"/>
      <c r="D168" s="425"/>
      <c r="E168" s="425"/>
      <c r="F168" s="425"/>
      <c r="G168" s="416">
        <v>16.313105</v>
      </c>
      <c r="H168" s="461"/>
      <c r="I168" s="462"/>
      <c r="J168" s="462"/>
      <c r="K168" s="462"/>
      <c r="L168" s="462"/>
      <c r="M168" s="462"/>
      <c r="N168" s="462"/>
      <c r="O168" s="462"/>
      <c r="P168" s="463"/>
      <c r="Q168" s="455"/>
      <c r="R168" s="464"/>
      <c r="S168" s="464"/>
      <c r="T168" s="464"/>
      <c r="U168" s="462"/>
      <c r="V168" s="462"/>
      <c r="W168" s="462"/>
      <c r="X168" s="468">
        <v>16.313</v>
      </c>
      <c r="Y168" s="456"/>
      <c r="Z168" s="441">
        <f t="shared" si="59"/>
        <v>16.313</v>
      </c>
      <c r="AA168" s="441">
        <f t="shared" si="59"/>
        <v>0</v>
      </c>
      <c r="AB168" s="445">
        <f t="shared" si="67"/>
        <v>16.313</v>
      </c>
      <c r="AC168" s="443">
        <v>16.313</v>
      </c>
      <c r="AD168" s="467"/>
      <c r="AE168" s="467"/>
      <c r="AF168" s="467"/>
      <c r="AG168" s="467"/>
      <c r="AH168" s="467"/>
      <c r="AI168" s="467"/>
      <c r="AJ168" s="467"/>
      <c r="AK168" s="467"/>
      <c r="AL168" s="467"/>
      <c r="AM168" s="467"/>
      <c r="AN168" s="348">
        <f t="shared" si="68"/>
        <v>0</v>
      </c>
      <c r="AO168" s="348">
        <f t="shared" si="68"/>
        <v>0</v>
      </c>
      <c r="AP168" s="386">
        <f t="shared" si="65"/>
        <v>16.313</v>
      </c>
      <c r="AQ168" s="293">
        <f t="shared" si="66"/>
        <v>16.313</v>
      </c>
      <c r="AR168" s="461"/>
      <c r="AS168" s="194"/>
      <c r="AT168" s="194"/>
      <c r="AU168" s="194"/>
      <c r="AV168" s="194"/>
      <c r="AW168" s="194"/>
      <c r="AX168" s="194"/>
      <c r="AY168" s="194"/>
      <c r="AZ168" s="194"/>
      <c r="BA168" s="194"/>
      <c r="BB168" s="194"/>
      <c r="BC168" s="194"/>
      <c r="BD168" s="194"/>
      <c r="BE168" s="194"/>
      <c r="BF168" s="194"/>
      <c r="BG168" s="194"/>
      <c r="BH168" s="194"/>
      <c r="BI168" s="194"/>
      <c r="BJ168" s="194"/>
      <c r="BK168" s="194"/>
      <c r="BL168" s="194"/>
      <c r="BM168" s="194"/>
      <c r="BN168" s="194"/>
      <c r="BO168" s="194"/>
      <c r="BP168" s="194"/>
      <c r="BQ168" s="194"/>
      <c r="BR168" s="194"/>
      <c r="BS168" s="194"/>
      <c r="BT168" s="194"/>
      <c r="BU168" s="194"/>
      <c r="BV168" s="194"/>
      <c r="BW168" s="194"/>
      <c r="BX168" s="194"/>
      <c r="BY168" s="194"/>
      <c r="BZ168" s="194"/>
      <c r="CA168" s="194"/>
      <c r="CB168" s="194"/>
      <c r="CC168" s="194"/>
      <c r="CD168" s="194"/>
      <c r="CE168" s="194"/>
      <c r="CF168" s="194"/>
      <c r="CG168" s="194"/>
      <c r="CH168" s="194"/>
      <c r="CI168" s="194"/>
      <c r="CJ168" s="194"/>
      <c r="CK168" s="194"/>
      <c r="CL168" s="194"/>
      <c r="CM168" s="194"/>
      <c r="CN168" s="194"/>
      <c r="CO168" s="194"/>
      <c r="CP168" s="194"/>
      <c r="CQ168" s="194"/>
      <c r="CR168" s="194"/>
      <c r="CS168" s="194"/>
      <c r="CT168" s="194"/>
      <c r="CU168" s="194"/>
      <c r="CV168" s="194"/>
      <c r="CW168" s="194"/>
      <c r="CX168" s="194"/>
      <c r="CY168" s="194"/>
      <c r="CZ168" s="195"/>
      <c r="DA168" s="195"/>
      <c r="DB168" s="195"/>
      <c r="DC168" s="195"/>
      <c r="DD168" s="195"/>
      <c r="DE168" s="195"/>
      <c r="DF168" s="195"/>
      <c r="DG168" s="195"/>
      <c r="DH168" s="195"/>
      <c r="DI168" s="195"/>
      <c r="DJ168" s="195"/>
      <c r="DK168" s="195"/>
      <c r="DL168" s="195"/>
      <c r="DM168" s="195"/>
    </row>
    <row r="169" spans="1:117" s="196" customFormat="1" ht="12.75" hidden="1">
      <c r="A169" s="283">
        <v>12</v>
      </c>
      <c r="B169" s="442" t="s">
        <v>416</v>
      </c>
      <c r="C169" s="425"/>
      <c r="D169" s="425"/>
      <c r="E169" s="425"/>
      <c r="F169" s="425"/>
      <c r="G169" s="416">
        <v>127.213169</v>
      </c>
      <c r="H169" s="461"/>
      <c r="I169" s="462"/>
      <c r="J169" s="462"/>
      <c r="K169" s="462"/>
      <c r="L169" s="462"/>
      <c r="M169" s="462"/>
      <c r="N169" s="462"/>
      <c r="O169" s="462"/>
      <c r="P169" s="463"/>
      <c r="Q169" s="455"/>
      <c r="R169" s="464"/>
      <c r="S169" s="464"/>
      <c r="T169" s="464"/>
      <c r="U169" s="462"/>
      <c r="V169" s="462"/>
      <c r="W169" s="462"/>
      <c r="X169" s="465"/>
      <c r="Y169" s="469"/>
      <c r="Z169" s="441">
        <f t="shared" si="59"/>
        <v>0</v>
      </c>
      <c r="AA169" s="441">
        <f t="shared" si="59"/>
        <v>0</v>
      </c>
      <c r="AB169" s="445">
        <f t="shared" si="67"/>
        <v>0</v>
      </c>
      <c r="AC169" s="443">
        <f t="shared" si="67"/>
        <v>0</v>
      </c>
      <c r="AD169" s="467"/>
      <c r="AE169" s="467"/>
      <c r="AF169" s="467"/>
      <c r="AG169" s="467"/>
      <c r="AH169" s="467"/>
      <c r="AI169" s="467"/>
      <c r="AJ169" s="467"/>
      <c r="AK169" s="467"/>
      <c r="AL169" s="467"/>
      <c r="AM169" s="467"/>
      <c r="AN169" s="348">
        <f t="shared" si="68"/>
        <v>0</v>
      </c>
      <c r="AO169" s="348">
        <f t="shared" si="68"/>
        <v>0</v>
      </c>
      <c r="AP169" s="386">
        <f t="shared" si="65"/>
        <v>0</v>
      </c>
      <c r="AQ169" s="293">
        <f t="shared" si="66"/>
        <v>0</v>
      </c>
      <c r="AR169" s="461"/>
      <c r="AS169" s="194"/>
      <c r="AT169" s="194"/>
      <c r="AU169" s="194"/>
      <c r="AV169" s="194"/>
      <c r="AW169" s="194"/>
      <c r="AX169" s="194"/>
      <c r="AY169" s="194"/>
      <c r="AZ169" s="194"/>
      <c r="BA169" s="194"/>
      <c r="BB169" s="194"/>
      <c r="BC169" s="194"/>
      <c r="BD169" s="194"/>
      <c r="BE169" s="194"/>
      <c r="BF169" s="194"/>
      <c r="BG169" s="194"/>
      <c r="BH169" s="194"/>
      <c r="BI169" s="194"/>
      <c r="BJ169" s="194"/>
      <c r="BK169" s="194"/>
      <c r="BL169" s="194"/>
      <c r="BM169" s="194"/>
      <c r="BN169" s="194"/>
      <c r="BO169" s="194"/>
      <c r="BP169" s="194"/>
      <c r="BQ169" s="194"/>
      <c r="BR169" s="194"/>
      <c r="BS169" s="194"/>
      <c r="BT169" s="194"/>
      <c r="BU169" s="194"/>
      <c r="BV169" s="194"/>
      <c r="BW169" s="194"/>
      <c r="BX169" s="194"/>
      <c r="BY169" s="194"/>
      <c r="BZ169" s="194"/>
      <c r="CA169" s="194"/>
      <c r="CB169" s="194"/>
      <c r="CC169" s="194"/>
      <c r="CD169" s="194"/>
      <c r="CE169" s="194"/>
      <c r="CF169" s="194"/>
      <c r="CG169" s="194"/>
      <c r="CH169" s="194"/>
      <c r="CI169" s="194"/>
      <c r="CJ169" s="194"/>
      <c r="CK169" s="194"/>
      <c r="CL169" s="194"/>
      <c r="CM169" s="194"/>
      <c r="CN169" s="194"/>
      <c r="CO169" s="194"/>
      <c r="CP169" s="194"/>
      <c r="CQ169" s="194"/>
      <c r="CR169" s="194"/>
      <c r="CS169" s="194"/>
      <c r="CT169" s="194"/>
      <c r="CU169" s="194"/>
      <c r="CV169" s="194"/>
      <c r="CW169" s="194"/>
      <c r="CX169" s="194"/>
      <c r="CY169" s="194"/>
      <c r="CZ169" s="195"/>
      <c r="DA169" s="195"/>
      <c r="DB169" s="195"/>
      <c r="DC169" s="195"/>
      <c r="DD169" s="195"/>
      <c r="DE169" s="195"/>
      <c r="DF169" s="195"/>
      <c r="DG169" s="195"/>
      <c r="DH169" s="195"/>
      <c r="DI169" s="195"/>
      <c r="DJ169" s="195"/>
      <c r="DK169" s="195"/>
      <c r="DL169" s="195"/>
      <c r="DM169" s="195"/>
    </row>
    <row r="170" spans="1:117" s="196" customFormat="1" ht="22.5" hidden="1">
      <c r="A170" s="283">
        <v>13</v>
      </c>
      <c r="B170" s="275" t="s">
        <v>481</v>
      </c>
      <c r="C170" s="425"/>
      <c r="D170" s="425"/>
      <c r="E170" s="425"/>
      <c r="F170" s="425"/>
      <c r="G170" s="416">
        <v>1.61047</v>
      </c>
      <c r="H170" s="461"/>
      <c r="I170" s="462"/>
      <c r="J170" s="462"/>
      <c r="K170" s="462"/>
      <c r="L170" s="462"/>
      <c r="M170" s="462"/>
      <c r="N170" s="462"/>
      <c r="O170" s="462"/>
      <c r="P170" s="463"/>
      <c r="Q170" s="455"/>
      <c r="R170" s="464"/>
      <c r="S170" s="464"/>
      <c r="T170" s="464"/>
      <c r="U170" s="462"/>
      <c r="V170" s="462"/>
      <c r="W170" s="462"/>
      <c r="X170" s="465"/>
      <c r="Y170" s="465"/>
      <c r="Z170" s="441">
        <f t="shared" si="59"/>
        <v>0</v>
      </c>
      <c r="AA170" s="441">
        <f t="shared" si="59"/>
        <v>0</v>
      </c>
      <c r="AB170" s="445">
        <f t="shared" si="67"/>
        <v>0</v>
      </c>
      <c r="AC170" s="443">
        <f t="shared" si="67"/>
        <v>0</v>
      </c>
      <c r="AD170" s="467"/>
      <c r="AE170" s="467"/>
      <c r="AF170" s="467"/>
      <c r="AG170" s="467"/>
      <c r="AH170" s="467"/>
      <c r="AI170" s="467"/>
      <c r="AJ170" s="467"/>
      <c r="AK170" s="467"/>
      <c r="AL170" s="467"/>
      <c r="AM170" s="467"/>
      <c r="AN170" s="348">
        <f t="shared" si="68"/>
        <v>0</v>
      </c>
      <c r="AO170" s="348">
        <f t="shared" si="68"/>
        <v>0</v>
      </c>
      <c r="AP170" s="386">
        <f t="shared" si="65"/>
        <v>0</v>
      </c>
      <c r="AQ170" s="293">
        <f t="shared" si="66"/>
        <v>0</v>
      </c>
      <c r="AR170" s="461"/>
      <c r="AS170" s="194"/>
      <c r="AT170" s="194"/>
      <c r="AU170" s="194"/>
      <c r="AV170" s="194"/>
      <c r="AW170" s="194"/>
      <c r="AX170" s="194"/>
      <c r="AY170" s="194"/>
      <c r="AZ170" s="194"/>
      <c r="BA170" s="194"/>
      <c r="BB170" s="194"/>
      <c r="BC170" s="194"/>
      <c r="BD170" s="194"/>
      <c r="BE170" s="194"/>
      <c r="BF170" s="194"/>
      <c r="BG170" s="194"/>
      <c r="BH170" s="194"/>
      <c r="BI170" s="194"/>
      <c r="BJ170" s="194"/>
      <c r="BK170" s="194"/>
      <c r="BL170" s="194"/>
      <c r="BM170" s="194"/>
      <c r="BN170" s="194"/>
      <c r="BO170" s="194"/>
      <c r="BP170" s="194"/>
      <c r="BQ170" s="194"/>
      <c r="BR170" s="194"/>
      <c r="BS170" s="194"/>
      <c r="BT170" s="194"/>
      <c r="BU170" s="194"/>
      <c r="BV170" s="194"/>
      <c r="BW170" s="194"/>
      <c r="BX170" s="194"/>
      <c r="BY170" s="194"/>
      <c r="BZ170" s="194"/>
      <c r="CA170" s="194"/>
      <c r="CB170" s="194"/>
      <c r="CC170" s="194"/>
      <c r="CD170" s="194"/>
      <c r="CE170" s="194"/>
      <c r="CF170" s="194"/>
      <c r="CG170" s="194"/>
      <c r="CH170" s="194"/>
      <c r="CI170" s="194"/>
      <c r="CJ170" s="194"/>
      <c r="CK170" s="194"/>
      <c r="CL170" s="194"/>
      <c r="CM170" s="194"/>
      <c r="CN170" s="194"/>
      <c r="CO170" s="194"/>
      <c r="CP170" s="194"/>
      <c r="CQ170" s="194"/>
      <c r="CR170" s="194"/>
      <c r="CS170" s="194"/>
      <c r="CT170" s="194"/>
      <c r="CU170" s="194"/>
      <c r="CV170" s="194"/>
      <c r="CW170" s="194"/>
      <c r="CX170" s="194"/>
      <c r="CY170" s="194"/>
      <c r="CZ170" s="195"/>
      <c r="DA170" s="195"/>
      <c r="DB170" s="195"/>
      <c r="DC170" s="195"/>
      <c r="DD170" s="195"/>
      <c r="DE170" s="195"/>
      <c r="DF170" s="195"/>
      <c r="DG170" s="195"/>
      <c r="DH170" s="195"/>
      <c r="DI170" s="195"/>
      <c r="DJ170" s="195"/>
      <c r="DK170" s="195"/>
      <c r="DL170" s="195"/>
      <c r="DM170" s="195"/>
    </row>
    <row r="171" spans="1:117" s="196" customFormat="1" ht="22.5" hidden="1">
      <c r="A171" s="283">
        <v>14</v>
      </c>
      <c r="B171" s="275" t="s">
        <v>482</v>
      </c>
      <c r="C171" s="425"/>
      <c r="D171" s="425"/>
      <c r="E171" s="425"/>
      <c r="F171" s="425"/>
      <c r="G171" s="416">
        <v>1</v>
      </c>
      <c r="H171" s="461"/>
      <c r="I171" s="462"/>
      <c r="J171" s="462"/>
      <c r="K171" s="462"/>
      <c r="L171" s="462"/>
      <c r="M171" s="462"/>
      <c r="N171" s="462"/>
      <c r="O171" s="462"/>
      <c r="P171" s="463"/>
      <c r="Q171" s="455"/>
      <c r="R171" s="464"/>
      <c r="S171" s="464"/>
      <c r="T171" s="464"/>
      <c r="U171" s="462"/>
      <c r="V171" s="462"/>
      <c r="W171" s="462"/>
      <c r="X171" s="465"/>
      <c r="Y171" s="465"/>
      <c r="Z171" s="441">
        <f t="shared" si="59"/>
        <v>0</v>
      </c>
      <c r="AA171" s="441">
        <f t="shared" si="59"/>
        <v>0</v>
      </c>
      <c r="AB171" s="445">
        <f t="shared" si="67"/>
        <v>0</v>
      </c>
      <c r="AC171" s="443">
        <f>AA171</f>
        <v>0</v>
      </c>
      <c r="AD171" s="467"/>
      <c r="AE171" s="467"/>
      <c r="AF171" s="467"/>
      <c r="AG171" s="467"/>
      <c r="AH171" s="467"/>
      <c r="AI171" s="467"/>
      <c r="AJ171" s="467"/>
      <c r="AK171" s="467"/>
      <c r="AL171" s="467"/>
      <c r="AM171" s="467"/>
      <c r="AN171" s="348">
        <f t="shared" si="68"/>
        <v>0</v>
      </c>
      <c r="AO171" s="348">
        <f t="shared" si="68"/>
        <v>0</v>
      </c>
      <c r="AP171" s="386">
        <f t="shared" si="65"/>
        <v>0</v>
      </c>
      <c r="AQ171" s="293">
        <f t="shared" si="66"/>
        <v>0</v>
      </c>
      <c r="AR171" s="461"/>
      <c r="AS171" s="194"/>
      <c r="AT171" s="194"/>
      <c r="AU171" s="194"/>
      <c r="AV171" s="194"/>
      <c r="AW171" s="194"/>
      <c r="AX171" s="194"/>
      <c r="AY171" s="194"/>
      <c r="AZ171" s="194"/>
      <c r="BA171" s="194"/>
      <c r="BB171" s="194"/>
      <c r="BC171" s="194"/>
      <c r="BD171" s="194"/>
      <c r="BE171" s="194"/>
      <c r="BF171" s="194"/>
      <c r="BG171" s="194"/>
      <c r="BH171" s="194"/>
      <c r="BI171" s="194"/>
      <c r="BJ171" s="194"/>
      <c r="BK171" s="194"/>
      <c r="BL171" s="194"/>
      <c r="BM171" s="194"/>
      <c r="BN171" s="194"/>
      <c r="BO171" s="194"/>
      <c r="BP171" s="194"/>
      <c r="BQ171" s="194"/>
      <c r="BR171" s="194"/>
      <c r="BS171" s="194"/>
      <c r="BT171" s="194"/>
      <c r="BU171" s="194"/>
      <c r="BV171" s="194"/>
      <c r="BW171" s="194"/>
      <c r="BX171" s="194"/>
      <c r="BY171" s="194"/>
      <c r="BZ171" s="194"/>
      <c r="CA171" s="194"/>
      <c r="CB171" s="194"/>
      <c r="CC171" s="194"/>
      <c r="CD171" s="194"/>
      <c r="CE171" s="194"/>
      <c r="CF171" s="194"/>
      <c r="CG171" s="194"/>
      <c r="CH171" s="194"/>
      <c r="CI171" s="194"/>
      <c r="CJ171" s="194"/>
      <c r="CK171" s="194"/>
      <c r="CL171" s="194"/>
      <c r="CM171" s="194"/>
      <c r="CN171" s="194"/>
      <c r="CO171" s="194"/>
      <c r="CP171" s="194"/>
      <c r="CQ171" s="194"/>
      <c r="CR171" s="194"/>
      <c r="CS171" s="194"/>
      <c r="CT171" s="194"/>
      <c r="CU171" s="194"/>
      <c r="CV171" s="194"/>
      <c r="CW171" s="194"/>
      <c r="CX171" s="194"/>
      <c r="CY171" s="194"/>
      <c r="CZ171" s="195"/>
      <c r="DA171" s="195"/>
      <c r="DB171" s="195"/>
      <c r="DC171" s="195"/>
      <c r="DD171" s="195"/>
      <c r="DE171" s="195"/>
      <c r="DF171" s="195"/>
      <c r="DG171" s="195"/>
      <c r="DH171" s="195"/>
      <c r="DI171" s="195"/>
      <c r="DJ171" s="195"/>
      <c r="DK171" s="195"/>
      <c r="DL171" s="195"/>
      <c r="DM171" s="195"/>
    </row>
    <row r="172" spans="1:117" s="196" customFormat="1" ht="12.75" hidden="1">
      <c r="A172" s="283">
        <v>15</v>
      </c>
      <c r="B172" s="393" t="s">
        <v>461</v>
      </c>
      <c r="C172" s="425"/>
      <c r="D172" s="425"/>
      <c r="E172" s="425"/>
      <c r="F172" s="425"/>
      <c r="G172" s="416">
        <v>24.660328</v>
      </c>
      <c r="H172" s="461"/>
      <c r="I172" s="462"/>
      <c r="J172" s="462"/>
      <c r="K172" s="462"/>
      <c r="L172" s="462"/>
      <c r="M172" s="462"/>
      <c r="N172" s="462"/>
      <c r="O172" s="462"/>
      <c r="P172" s="463"/>
      <c r="Q172" s="455"/>
      <c r="R172" s="464"/>
      <c r="S172" s="464"/>
      <c r="T172" s="464"/>
      <c r="U172" s="462"/>
      <c r="V172" s="462"/>
      <c r="W172" s="462"/>
      <c r="X172" s="465"/>
      <c r="Y172" s="465"/>
      <c r="Z172" s="441">
        <f t="shared" si="59"/>
        <v>0</v>
      </c>
      <c r="AA172" s="441">
        <f t="shared" si="59"/>
        <v>0</v>
      </c>
      <c r="AB172" s="445">
        <f t="shared" si="67"/>
        <v>0</v>
      </c>
      <c r="AC172" s="443">
        <f>AA172</f>
        <v>0</v>
      </c>
      <c r="AD172" s="467"/>
      <c r="AE172" s="467"/>
      <c r="AF172" s="467"/>
      <c r="AG172" s="467"/>
      <c r="AH172" s="467"/>
      <c r="AI172" s="467"/>
      <c r="AJ172" s="467"/>
      <c r="AK172" s="467"/>
      <c r="AL172" s="467"/>
      <c r="AM172" s="467"/>
      <c r="AN172" s="348">
        <f t="shared" si="68"/>
        <v>0</v>
      </c>
      <c r="AO172" s="348">
        <f t="shared" si="68"/>
        <v>0</v>
      </c>
      <c r="AP172" s="386">
        <f t="shared" si="65"/>
        <v>0</v>
      </c>
      <c r="AQ172" s="293">
        <f t="shared" si="66"/>
        <v>0</v>
      </c>
      <c r="AR172" s="461"/>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4"/>
      <c r="BQ172" s="194"/>
      <c r="BR172" s="194"/>
      <c r="BS172" s="194"/>
      <c r="BT172" s="194"/>
      <c r="BU172" s="194"/>
      <c r="BV172" s="194"/>
      <c r="BW172" s="194"/>
      <c r="BX172" s="194"/>
      <c r="BY172" s="194"/>
      <c r="BZ172" s="194"/>
      <c r="CA172" s="194"/>
      <c r="CB172" s="194"/>
      <c r="CC172" s="194"/>
      <c r="CD172" s="194"/>
      <c r="CE172" s="194"/>
      <c r="CF172" s="194"/>
      <c r="CG172" s="194"/>
      <c r="CH172" s="194"/>
      <c r="CI172" s="194"/>
      <c r="CJ172" s="194"/>
      <c r="CK172" s="194"/>
      <c r="CL172" s="194"/>
      <c r="CM172" s="194"/>
      <c r="CN172" s="194"/>
      <c r="CO172" s="194"/>
      <c r="CP172" s="194"/>
      <c r="CQ172" s="194"/>
      <c r="CR172" s="194"/>
      <c r="CS172" s="194"/>
      <c r="CT172" s="194"/>
      <c r="CU172" s="194"/>
      <c r="CV172" s="194"/>
      <c r="CW172" s="194"/>
      <c r="CX172" s="194"/>
      <c r="CY172" s="194"/>
      <c r="CZ172" s="195"/>
      <c r="DA172" s="195"/>
      <c r="DB172" s="195"/>
      <c r="DC172" s="195"/>
      <c r="DD172" s="195"/>
      <c r="DE172" s="195"/>
      <c r="DF172" s="195"/>
      <c r="DG172" s="195"/>
      <c r="DH172" s="195"/>
      <c r="DI172" s="195"/>
      <c r="DJ172" s="195"/>
      <c r="DK172" s="195"/>
      <c r="DL172" s="195"/>
      <c r="DM172" s="195"/>
    </row>
    <row r="173" spans="1:117" s="196" customFormat="1" ht="12.75" hidden="1">
      <c r="A173" s="283">
        <v>16</v>
      </c>
      <c r="B173" s="393" t="s">
        <v>417</v>
      </c>
      <c r="C173" s="425"/>
      <c r="D173" s="425"/>
      <c r="E173" s="425"/>
      <c r="F173" s="425"/>
      <c r="G173" s="416">
        <v>976.733562</v>
      </c>
      <c r="H173" s="461"/>
      <c r="I173" s="462"/>
      <c r="J173" s="462"/>
      <c r="K173" s="462"/>
      <c r="L173" s="462"/>
      <c r="M173" s="462"/>
      <c r="N173" s="462"/>
      <c r="O173" s="462"/>
      <c r="P173" s="463"/>
      <c r="Q173" s="455"/>
      <c r="R173" s="464"/>
      <c r="S173" s="464"/>
      <c r="T173" s="464"/>
      <c r="U173" s="462"/>
      <c r="V173" s="462"/>
      <c r="W173" s="462"/>
      <c r="X173" s="465"/>
      <c r="Y173" s="465"/>
      <c r="Z173" s="441">
        <f t="shared" si="59"/>
        <v>0</v>
      </c>
      <c r="AA173" s="441">
        <f t="shared" si="59"/>
        <v>0</v>
      </c>
      <c r="AB173" s="445">
        <f t="shared" si="67"/>
        <v>0</v>
      </c>
      <c r="AC173" s="443">
        <f>AA173</f>
        <v>0</v>
      </c>
      <c r="AD173" s="467"/>
      <c r="AE173" s="467"/>
      <c r="AF173" s="467"/>
      <c r="AG173" s="467"/>
      <c r="AH173" s="467"/>
      <c r="AI173" s="467"/>
      <c r="AJ173" s="467"/>
      <c r="AK173" s="467"/>
      <c r="AL173" s="467"/>
      <c r="AM173" s="467"/>
      <c r="AN173" s="348">
        <f t="shared" si="68"/>
        <v>0</v>
      </c>
      <c r="AO173" s="348">
        <f t="shared" si="68"/>
        <v>0</v>
      </c>
      <c r="AP173" s="386">
        <f t="shared" si="65"/>
        <v>0</v>
      </c>
      <c r="AQ173" s="293">
        <f t="shared" si="66"/>
        <v>0</v>
      </c>
      <c r="AR173" s="461"/>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4"/>
      <c r="BQ173" s="194"/>
      <c r="BR173" s="194"/>
      <c r="BS173" s="194"/>
      <c r="BT173" s="194"/>
      <c r="BU173" s="194"/>
      <c r="BV173" s="194"/>
      <c r="BW173" s="194"/>
      <c r="BX173" s="194"/>
      <c r="BY173" s="194"/>
      <c r="BZ173" s="194"/>
      <c r="CA173" s="194"/>
      <c r="CB173" s="194"/>
      <c r="CC173" s="194"/>
      <c r="CD173" s="194"/>
      <c r="CE173" s="194"/>
      <c r="CF173" s="194"/>
      <c r="CG173" s="194"/>
      <c r="CH173" s="194"/>
      <c r="CI173" s="194"/>
      <c r="CJ173" s="194"/>
      <c r="CK173" s="194"/>
      <c r="CL173" s="194"/>
      <c r="CM173" s="194"/>
      <c r="CN173" s="194"/>
      <c r="CO173" s="194"/>
      <c r="CP173" s="194"/>
      <c r="CQ173" s="194"/>
      <c r="CR173" s="194"/>
      <c r="CS173" s="194"/>
      <c r="CT173" s="194"/>
      <c r="CU173" s="194"/>
      <c r="CV173" s="194"/>
      <c r="CW173" s="194"/>
      <c r="CX173" s="194"/>
      <c r="CY173" s="194"/>
      <c r="CZ173" s="195"/>
      <c r="DA173" s="195"/>
      <c r="DB173" s="195"/>
      <c r="DC173" s="195"/>
      <c r="DD173" s="195"/>
      <c r="DE173" s="195"/>
      <c r="DF173" s="195"/>
      <c r="DG173" s="195"/>
      <c r="DH173" s="195"/>
      <c r="DI173" s="195"/>
      <c r="DJ173" s="195"/>
      <c r="DK173" s="195"/>
      <c r="DL173" s="195"/>
      <c r="DM173" s="195"/>
    </row>
    <row r="174" spans="1:103" s="196" customFormat="1" ht="18" customHeight="1">
      <c r="A174" s="461" t="s">
        <v>487</v>
      </c>
      <c r="B174" s="470" t="s">
        <v>488</v>
      </c>
      <c r="C174" s="425"/>
      <c r="D174" s="425"/>
      <c r="E174" s="425"/>
      <c r="F174" s="425"/>
      <c r="G174" s="471">
        <f>G175</f>
        <v>29262.25047300001</v>
      </c>
      <c r="H174" s="471">
        <f aca="true" t="shared" si="69" ref="H174:AQ174">H175</f>
        <v>0</v>
      </c>
      <c r="I174" s="471">
        <f t="shared" si="69"/>
        <v>0</v>
      </c>
      <c r="J174" s="471"/>
      <c r="K174" s="471"/>
      <c r="L174" s="471"/>
      <c r="M174" s="471"/>
      <c r="N174" s="471">
        <f t="shared" si="69"/>
        <v>0</v>
      </c>
      <c r="O174" s="471">
        <f t="shared" si="69"/>
        <v>0</v>
      </c>
      <c r="P174" s="472">
        <f t="shared" si="69"/>
        <v>20000</v>
      </c>
      <c r="Q174" s="472">
        <f t="shared" si="69"/>
        <v>20000</v>
      </c>
      <c r="R174" s="471">
        <f t="shared" si="69"/>
        <v>0</v>
      </c>
      <c r="S174" s="471">
        <f t="shared" si="69"/>
        <v>0</v>
      </c>
      <c r="T174" s="471">
        <f t="shared" si="69"/>
        <v>0</v>
      </c>
      <c r="U174" s="471">
        <f t="shared" si="69"/>
        <v>0</v>
      </c>
      <c r="V174" s="472">
        <f t="shared" si="69"/>
        <v>7317.9969999999985</v>
      </c>
      <c r="W174" s="472">
        <f t="shared" si="69"/>
        <v>9500</v>
      </c>
      <c r="X174" s="471">
        <f t="shared" si="69"/>
        <v>11051.806</v>
      </c>
      <c r="Y174" s="471">
        <f t="shared" si="69"/>
        <v>10397.706</v>
      </c>
      <c r="Z174" s="472">
        <f t="shared" si="69"/>
        <v>18369.803000000004</v>
      </c>
      <c r="AA174" s="472">
        <f t="shared" si="69"/>
        <v>19897.706000000002</v>
      </c>
      <c r="AB174" s="471">
        <f>AB175</f>
        <v>20417.743</v>
      </c>
      <c r="AC174" s="471">
        <f t="shared" si="69"/>
        <v>20000</v>
      </c>
      <c r="AD174" s="471">
        <f t="shared" si="69"/>
        <v>0</v>
      </c>
      <c r="AE174" s="471">
        <f>AC174+AD174</f>
        <v>20000</v>
      </c>
      <c r="AF174" s="471">
        <f t="shared" si="69"/>
        <v>7254.780937000002</v>
      </c>
      <c r="AG174" s="471">
        <f t="shared" si="69"/>
        <v>0</v>
      </c>
      <c r="AH174" s="471">
        <f t="shared" si="69"/>
        <v>525.385039</v>
      </c>
      <c r="AI174" s="471">
        <f t="shared" si="69"/>
        <v>0</v>
      </c>
      <c r="AJ174" s="471">
        <f t="shared" si="69"/>
        <v>0</v>
      </c>
      <c r="AK174" s="471">
        <f t="shared" si="69"/>
        <v>0</v>
      </c>
      <c r="AL174" s="471">
        <f t="shared" si="69"/>
        <v>0</v>
      </c>
      <c r="AM174" s="471">
        <f t="shared" si="69"/>
        <v>0</v>
      </c>
      <c r="AN174" s="471">
        <f t="shared" si="69"/>
        <v>7780.165976000001</v>
      </c>
      <c r="AO174" s="471">
        <f t="shared" si="69"/>
        <v>0</v>
      </c>
      <c r="AP174" s="471">
        <f>AP175</f>
        <v>28197.90897600001</v>
      </c>
      <c r="AQ174" s="473">
        <f t="shared" si="69"/>
        <v>20000</v>
      </c>
      <c r="AR174" s="471" t="str">
        <f>AR175</f>
        <v>HT 2014</v>
      </c>
      <c r="AS174" s="239"/>
      <c r="AT174" s="239"/>
      <c r="AU174" s="239"/>
      <c r="AV174" s="239"/>
      <c r="AW174" s="239"/>
      <c r="AX174" s="239"/>
      <c r="AY174" s="239"/>
      <c r="AZ174" s="239"/>
      <c r="BA174" s="239"/>
      <c r="BB174" s="239"/>
      <c r="BC174" s="239"/>
      <c r="BD174" s="239"/>
      <c r="BE174" s="239"/>
      <c r="BF174" s="239"/>
      <c r="BG174" s="239"/>
      <c r="BH174" s="239"/>
      <c r="BI174" s="239"/>
      <c r="BJ174" s="239"/>
      <c r="BK174" s="239"/>
      <c r="BL174" s="239"/>
      <c r="BM174" s="239"/>
      <c r="BN174" s="239"/>
      <c r="BO174" s="239"/>
      <c r="BP174" s="239"/>
      <c r="BQ174" s="239"/>
      <c r="BR174" s="239"/>
      <c r="BS174" s="239"/>
      <c r="BT174" s="239"/>
      <c r="BU174" s="239"/>
      <c r="BV174" s="239"/>
      <c r="BW174" s="239"/>
      <c r="BX174" s="239"/>
      <c r="BY174" s="239"/>
      <c r="BZ174" s="239"/>
      <c r="CA174" s="239"/>
      <c r="CB174" s="239"/>
      <c r="CC174" s="239"/>
      <c r="CD174" s="239"/>
      <c r="CE174" s="239"/>
      <c r="CF174" s="239"/>
      <c r="CG174" s="239"/>
      <c r="CH174" s="239"/>
      <c r="CI174" s="239"/>
      <c r="CJ174" s="239"/>
      <c r="CK174" s="239"/>
      <c r="CL174" s="239"/>
      <c r="CM174" s="239"/>
      <c r="CN174" s="239"/>
      <c r="CO174" s="239"/>
      <c r="CP174" s="239"/>
      <c r="CQ174" s="239"/>
      <c r="CR174" s="239"/>
      <c r="CS174" s="239"/>
      <c r="CT174" s="239"/>
      <c r="CU174" s="239"/>
      <c r="CV174" s="239"/>
      <c r="CW174" s="239"/>
      <c r="CX174" s="239"/>
      <c r="CY174" s="239"/>
    </row>
    <row r="175" spans="1:117" s="215" customFormat="1" ht="32.25" customHeight="1">
      <c r="A175" s="395">
        <v>19</v>
      </c>
      <c r="B175" s="396" t="s">
        <v>489</v>
      </c>
      <c r="C175" s="397" t="s">
        <v>442</v>
      </c>
      <c r="D175" s="397"/>
      <c r="E175" s="397" t="s">
        <v>452</v>
      </c>
      <c r="F175" s="397" t="s">
        <v>490</v>
      </c>
      <c r="G175" s="474">
        <f>SUM((G176:G198))</f>
        <v>29262.25047300001</v>
      </c>
      <c r="H175" s="395"/>
      <c r="I175" s="475"/>
      <c r="J175" s="475"/>
      <c r="K175" s="475"/>
      <c r="L175" s="475">
        <v>20000</v>
      </c>
      <c r="M175" s="475"/>
      <c r="N175" s="475"/>
      <c r="O175" s="475"/>
      <c r="P175" s="399">
        <f>10000+10000</f>
        <v>20000</v>
      </c>
      <c r="Q175" s="476">
        <f>J175+K175+L175+M175</f>
        <v>20000</v>
      </c>
      <c r="R175" s="475"/>
      <c r="S175" s="475"/>
      <c r="T175" s="475"/>
      <c r="U175" s="475"/>
      <c r="V175" s="399">
        <f>SUM(V176:V198)</f>
        <v>7317.9969999999985</v>
      </c>
      <c r="W175" s="399">
        <f aca="true" t="shared" si="70" ref="W175:AO175">SUM(W176:W198)</f>
        <v>9500</v>
      </c>
      <c r="X175" s="474">
        <f t="shared" si="70"/>
        <v>11051.806</v>
      </c>
      <c r="Y175" s="474">
        <f>SUM(Y176:Y198)</f>
        <v>10397.706</v>
      </c>
      <c r="Z175" s="398">
        <f t="shared" si="70"/>
        <v>18369.803000000004</v>
      </c>
      <c r="AA175" s="398">
        <f t="shared" si="70"/>
        <v>19897.706000000002</v>
      </c>
      <c r="AB175" s="474">
        <f>SUM(AB176:AB198)</f>
        <v>20417.743</v>
      </c>
      <c r="AC175" s="474">
        <f t="shared" si="70"/>
        <v>20000</v>
      </c>
      <c r="AD175" s="474">
        <f t="shared" si="70"/>
        <v>0</v>
      </c>
      <c r="AE175" s="474">
        <f t="shared" si="70"/>
        <v>0</v>
      </c>
      <c r="AF175" s="474">
        <f t="shared" si="70"/>
        <v>7254.780937000002</v>
      </c>
      <c r="AG175" s="474">
        <f t="shared" si="70"/>
        <v>0</v>
      </c>
      <c r="AH175" s="474">
        <f t="shared" si="70"/>
        <v>525.385039</v>
      </c>
      <c r="AI175" s="474">
        <f t="shared" si="70"/>
        <v>0</v>
      </c>
      <c r="AJ175" s="474">
        <f t="shared" si="70"/>
        <v>0</v>
      </c>
      <c r="AK175" s="474">
        <f t="shared" si="70"/>
        <v>0</v>
      </c>
      <c r="AL175" s="474">
        <f t="shared" si="70"/>
        <v>0</v>
      </c>
      <c r="AM175" s="474">
        <f t="shared" si="70"/>
        <v>0</v>
      </c>
      <c r="AN175" s="474">
        <f t="shared" si="70"/>
        <v>7780.165976000001</v>
      </c>
      <c r="AO175" s="474">
        <f t="shared" si="70"/>
        <v>0</v>
      </c>
      <c r="AP175" s="474">
        <f>SUM(AP176:AP198)</f>
        <v>28197.90897600001</v>
      </c>
      <c r="AQ175" s="477">
        <f>SUM(AQ176:AQ198)</f>
        <v>20000</v>
      </c>
      <c r="AR175" s="474" t="s">
        <v>521</v>
      </c>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c r="CO175" s="213"/>
      <c r="CP175" s="213"/>
      <c r="CQ175" s="213"/>
      <c r="CR175" s="213"/>
      <c r="CS175" s="213"/>
      <c r="CT175" s="213"/>
      <c r="CU175" s="213"/>
      <c r="CV175" s="213"/>
      <c r="CW175" s="213"/>
      <c r="CX175" s="213"/>
      <c r="CY175" s="213"/>
      <c r="CZ175" s="214"/>
      <c r="DA175" s="214"/>
      <c r="DB175" s="214"/>
      <c r="DC175" s="214"/>
      <c r="DD175" s="214"/>
      <c r="DE175" s="214"/>
      <c r="DF175" s="214"/>
      <c r="DG175" s="214"/>
      <c r="DH175" s="214"/>
      <c r="DI175" s="214"/>
      <c r="DJ175" s="214"/>
      <c r="DK175" s="214"/>
      <c r="DL175" s="214"/>
      <c r="DM175" s="214"/>
    </row>
    <row r="176" spans="1:117" s="215" customFormat="1" ht="12.75" hidden="1">
      <c r="A176" s="241">
        <v>1</v>
      </c>
      <c r="B176" s="242" t="s">
        <v>406</v>
      </c>
      <c r="C176" s="233"/>
      <c r="D176" s="233"/>
      <c r="E176" s="233"/>
      <c r="F176" s="233"/>
      <c r="G176" s="298">
        <v>23452.46855</v>
      </c>
      <c r="H176" s="248"/>
      <c r="I176" s="299"/>
      <c r="J176" s="299"/>
      <c r="K176" s="299"/>
      <c r="L176" s="299"/>
      <c r="M176" s="299"/>
      <c r="N176" s="299"/>
      <c r="O176" s="299"/>
      <c r="P176" s="299"/>
      <c r="Q176" s="299"/>
      <c r="R176" s="299"/>
      <c r="S176" s="299"/>
      <c r="T176" s="299"/>
      <c r="U176" s="299"/>
      <c r="V176" s="300">
        <v>6570.373</v>
      </c>
      <c r="W176" s="300">
        <v>9000</v>
      </c>
      <c r="X176" s="301">
        <v>9520.167</v>
      </c>
      <c r="Y176" s="300">
        <v>8500</v>
      </c>
      <c r="Z176" s="300">
        <f>R176+T176+V176+X176</f>
        <v>16090.539999999999</v>
      </c>
      <c r="AA176" s="302">
        <f>S176+U176+W176+Y176</f>
        <v>17500</v>
      </c>
      <c r="AB176" s="301">
        <f>Z176</f>
        <v>16090.539999999999</v>
      </c>
      <c r="AC176" s="301">
        <f>AA176</f>
        <v>17500</v>
      </c>
      <c r="AD176" s="249"/>
      <c r="AE176" s="249"/>
      <c r="AF176" s="303">
        <f>23011.473-AB176</f>
        <v>6920.933000000003</v>
      </c>
      <c r="AG176" s="249"/>
      <c r="AH176" s="249"/>
      <c r="AI176" s="249"/>
      <c r="AJ176" s="249"/>
      <c r="AK176" s="249"/>
      <c r="AL176" s="249"/>
      <c r="AM176" s="249"/>
      <c r="AN176" s="243">
        <f>AF176+AH176+AJ176+AL176</f>
        <v>6920.933000000003</v>
      </c>
      <c r="AO176" s="243">
        <f>AG176+AI176+AK176+AM176</f>
        <v>0</v>
      </c>
      <c r="AP176" s="244">
        <f aca="true" t="shared" si="71" ref="AP176:AP198">AN176+AB176</f>
        <v>23011.473</v>
      </c>
      <c r="AQ176" s="304">
        <f aca="true" t="shared" si="72" ref="AQ176:AQ198">AO176+AC176</f>
        <v>17500</v>
      </c>
      <c r="AR176" s="248"/>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c r="CO176" s="213"/>
      <c r="CP176" s="213"/>
      <c r="CQ176" s="213"/>
      <c r="CR176" s="213"/>
      <c r="CS176" s="213"/>
      <c r="CT176" s="213"/>
      <c r="CU176" s="213"/>
      <c r="CV176" s="213"/>
      <c r="CW176" s="213"/>
      <c r="CX176" s="213"/>
      <c r="CY176" s="213"/>
      <c r="CZ176" s="214"/>
      <c r="DA176" s="214"/>
      <c r="DB176" s="214"/>
      <c r="DC176" s="214"/>
      <c r="DD176" s="214"/>
      <c r="DE176" s="214"/>
      <c r="DF176" s="214"/>
      <c r="DG176" s="214"/>
      <c r="DH176" s="214"/>
      <c r="DI176" s="214"/>
      <c r="DJ176" s="214"/>
      <c r="DK176" s="214"/>
      <c r="DL176" s="214"/>
      <c r="DM176" s="214"/>
    </row>
    <row r="177" spans="1:117" s="215" customFormat="1" ht="12.75" hidden="1">
      <c r="A177" s="219">
        <v>2</v>
      </c>
      <c r="B177" s="245" t="s">
        <v>491</v>
      </c>
      <c r="C177" s="210"/>
      <c r="D177" s="210"/>
      <c r="E177" s="210"/>
      <c r="F177" s="210"/>
      <c r="G177" s="202">
        <v>1904.38</v>
      </c>
      <c r="H177" s="211"/>
      <c r="I177" s="203"/>
      <c r="J177" s="203"/>
      <c r="K177" s="203"/>
      <c r="L177" s="203"/>
      <c r="M177" s="203"/>
      <c r="N177" s="203"/>
      <c r="O177" s="203"/>
      <c r="P177" s="203"/>
      <c r="Q177" s="203"/>
      <c r="R177" s="203"/>
      <c r="S177" s="203"/>
      <c r="T177" s="203"/>
      <c r="U177" s="203"/>
      <c r="V177" s="203"/>
      <c r="W177" s="203"/>
      <c r="X177" s="235"/>
      <c r="Y177" s="235">
        <f>950.56</f>
        <v>950.56</v>
      </c>
      <c r="Z177" s="205">
        <f aca="true" t="shared" si="73" ref="Z177:AA198">R177+T177+V177+X177</f>
        <v>0</v>
      </c>
      <c r="AA177" s="205">
        <f t="shared" si="73"/>
        <v>950.56</v>
      </c>
      <c r="AB177" s="205">
        <v>1883.341</v>
      </c>
      <c r="AC177" s="235">
        <f>AA177+24.294</f>
        <v>974.8539999999999</v>
      </c>
      <c r="AD177" s="212"/>
      <c r="AE177" s="212"/>
      <c r="AF177" s="212"/>
      <c r="AG177" s="212"/>
      <c r="AH177" s="212"/>
      <c r="AI177" s="212"/>
      <c r="AJ177" s="212"/>
      <c r="AK177" s="212"/>
      <c r="AL177" s="212"/>
      <c r="AM177" s="212"/>
      <c r="AN177" s="206">
        <f aca="true" t="shared" si="74" ref="AN177:AO198">AF177+AH177+AJ177+AL177</f>
        <v>0</v>
      </c>
      <c r="AO177" s="206">
        <f t="shared" si="74"/>
        <v>0</v>
      </c>
      <c r="AP177" s="207">
        <f t="shared" si="71"/>
        <v>1883.341</v>
      </c>
      <c r="AQ177" s="295">
        <f t="shared" si="72"/>
        <v>974.8539999999999</v>
      </c>
      <c r="AR177" s="211"/>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c r="CO177" s="213"/>
      <c r="CP177" s="213"/>
      <c r="CQ177" s="213"/>
      <c r="CR177" s="213"/>
      <c r="CS177" s="213"/>
      <c r="CT177" s="213"/>
      <c r="CU177" s="213"/>
      <c r="CV177" s="213"/>
      <c r="CW177" s="213"/>
      <c r="CX177" s="213"/>
      <c r="CY177" s="213"/>
      <c r="CZ177" s="214"/>
      <c r="DA177" s="214"/>
      <c r="DB177" s="214"/>
      <c r="DC177" s="214"/>
      <c r="DD177" s="214"/>
      <c r="DE177" s="214"/>
      <c r="DF177" s="214"/>
      <c r="DG177" s="214"/>
      <c r="DH177" s="214"/>
      <c r="DI177" s="214"/>
      <c r="DJ177" s="214"/>
      <c r="DK177" s="214"/>
      <c r="DL177" s="214"/>
      <c r="DM177" s="214"/>
    </row>
    <row r="178" spans="1:117" s="215" customFormat="1" ht="12.75" hidden="1">
      <c r="A178" s="219">
        <v>3</v>
      </c>
      <c r="B178" s="250" t="s">
        <v>408</v>
      </c>
      <c r="C178" s="210"/>
      <c r="D178" s="210"/>
      <c r="E178" s="210"/>
      <c r="F178" s="210"/>
      <c r="G178" s="202">
        <v>486.091182</v>
      </c>
      <c r="H178" s="211"/>
      <c r="I178" s="203"/>
      <c r="J178" s="203"/>
      <c r="K178" s="203"/>
      <c r="L178" s="203"/>
      <c r="M178" s="203"/>
      <c r="N178" s="203"/>
      <c r="O178" s="203"/>
      <c r="P178" s="203"/>
      <c r="Q178" s="203"/>
      <c r="R178" s="203"/>
      <c r="S178" s="203"/>
      <c r="T178" s="203"/>
      <c r="U178" s="203"/>
      <c r="V178" s="202">
        <v>319.065</v>
      </c>
      <c r="W178" s="202">
        <v>319.065</v>
      </c>
      <c r="X178" s="203"/>
      <c r="Y178" s="203"/>
      <c r="Z178" s="205">
        <f t="shared" si="73"/>
        <v>319.065</v>
      </c>
      <c r="AA178" s="205">
        <f t="shared" si="73"/>
        <v>319.065</v>
      </c>
      <c r="AB178" s="205">
        <f aca="true" t="shared" si="75" ref="AB178:AC196">Z178</f>
        <v>319.065</v>
      </c>
      <c r="AC178" s="205">
        <f t="shared" si="75"/>
        <v>319.065</v>
      </c>
      <c r="AD178" s="212"/>
      <c r="AE178" s="212"/>
      <c r="AF178" s="234">
        <v>167.026</v>
      </c>
      <c r="AG178" s="212"/>
      <c r="AH178" s="212"/>
      <c r="AI178" s="212"/>
      <c r="AJ178" s="212"/>
      <c r="AK178" s="212"/>
      <c r="AL178" s="212"/>
      <c r="AM178" s="212"/>
      <c r="AN178" s="206">
        <f t="shared" si="74"/>
        <v>167.026</v>
      </c>
      <c r="AO178" s="206">
        <f t="shared" si="74"/>
        <v>0</v>
      </c>
      <c r="AP178" s="207">
        <f t="shared" si="71"/>
        <v>486.091</v>
      </c>
      <c r="AQ178" s="295">
        <f t="shared" si="72"/>
        <v>319.065</v>
      </c>
      <c r="AR178" s="211"/>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c r="CO178" s="213"/>
      <c r="CP178" s="213"/>
      <c r="CQ178" s="213"/>
      <c r="CR178" s="213"/>
      <c r="CS178" s="213"/>
      <c r="CT178" s="213"/>
      <c r="CU178" s="213"/>
      <c r="CV178" s="213"/>
      <c r="CW178" s="213"/>
      <c r="CX178" s="213"/>
      <c r="CY178" s="213"/>
      <c r="CZ178" s="214"/>
      <c r="DA178" s="214"/>
      <c r="DB178" s="214"/>
      <c r="DC178" s="214"/>
      <c r="DD178" s="214"/>
      <c r="DE178" s="214"/>
      <c r="DF178" s="214"/>
      <c r="DG178" s="214"/>
      <c r="DH178" s="214"/>
      <c r="DI178" s="214"/>
      <c r="DJ178" s="214"/>
      <c r="DK178" s="214"/>
      <c r="DL178" s="214"/>
      <c r="DM178" s="214"/>
    </row>
    <row r="179" spans="1:117" s="215" customFormat="1" ht="12.75" hidden="1">
      <c r="A179" s="219">
        <v>4</v>
      </c>
      <c r="B179" s="250" t="s">
        <v>492</v>
      </c>
      <c r="C179" s="210"/>
      <c r="D179" s="210"/>
      <c r="E179" s="210"/>
      <c r="F179" s="210"/>
      <c r="G179" s="202">
        <v>133.296392</v>
      </c>
      <c r="H179" s="211"/>
      <c r="I179" s="203"/>
      <c r="J179" s="203"/>
      <c r="K179" s="203"/>
      <c r="L179" s="203"/>
      <c r="M179" s="203"/>
      <c r="N179" s="203"/>
      <c r="O179" s="203"/>
      <c r="P179" s="203"/>
      <c r="Q179" s="203"/>
      <c r="R179" s="203"/>
      <c r="S179" s="203"/>
      <c r="T179" s="203"/>
      <c r="U179" s="203"/>
      <c r="V179" s="202">
        <v>133.2962</v>
      </c>
      <c r="W179" s="203"/>
      <c r="X179" s="203"/>
      <c r="Y179" s="203"/>
      <c r="Z179" s="205">
        <f t="shared" si="73"/>
        <v>133.2962</v>
      </c>
      <c r="AA179" s="205">
        <f t="shared" si="73"/>
        <v>0</v>
      </c>
      <c r="AB179" s="235">
        <f t="shared" si="75"/>
        <v>133.2962</v>
      </c>
      <c r="AC179" s="205">
        <f t="shared" si="75"/>
        <v>0</v>
      </c>
      <c r="AD179" s="212"/>
      <c r="AE179" s="212"/>
      <c r="AF179" s="212"/>
      <c r="AG179" s="212"/>
      <c r="AH179" s="212"/>
      <c r="AI179" s="212"/>
      <c r="AJ179" s="212"/>
      <c r="AK179" s="212"/>
      <c r="AL179" s="212"/>
      <c r="AM179" s="212"/>
      <c r="AN179" s="206">
        <f t="shared" si="74"/>
        <v>0</v>
      </c>
      <c r="AO179" s="206">
        <f t="shared" si="74"/>
        <v>0</v>
      </c>
      <c r="AP179" s="207">
        <f t="shared" si="71"/>
        <v>133.2962</v>
      </c>
      <c r="AQ179" s="295">
        <f t="shared" si="72"/>
        <v>0</v>
      </c>
      <c r="AR179" s="211"/>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4"/>
      <c r="DA179" s="214"/>
      <c r="DB179" s="214"/>
      <c r="DC179" s="214"/>
      <c r="DD179" s="214"/>
      <c r="DE179" s="214"/>
      <c r="DF179" s="214"/>
      <c r="DG179" s="214"/>
      <c r="DH179" s="214"/>
      <c r="DI179" s="214"/>
      <c r="DJ179" s="214"/>
      <c r="DK179" s="214"/>
      <c r="DL179" s="214"/>
      <c r="DM179" s="214"/>
    </row>
    <row r="180" spans="1:117" s="215" customFormat="1" ht="25.5" hidden="1">
      <c r="A180" s="219">
        <v>5</v>
      </c>
      <c r="B180" s="250" t="s">
        <v>493</v>
      </c>
      <c r="C180" s="210"/>
      <c r="D180" s="210"/>
      <c r="E180" s="210"/>
      <c r="F180" s="210"/>
      <c r="G180" s="202">
        <v>20.196424</v>
      </c>
      <c r="H180" s="211"/>
      <c r="I180" s="203"/>
      <c r="J180" s="203"/>
      <c r="K180" s="203"/>
      <c r="L180" s="203"/>
      <c r="M180" s="203"/>
      <c r="N180" s="203"/>
      <c r="O180" s="203"/>
      <c r="P180" s="203"/>
      <c r="Q180" s="203"/>
      <c r="R180" s="203"/>
      <c r="S180" s="203"/>
      <c r="T180" s="203"/>
      <c r="U180" s="203"/>
      <c r="V180" s="203"/>
      <c r="W180" s="203"/>
      <c r="X180" s="203"/>
      <c r="Y180" s="203"/>
      <c r="Z180" s="205">
        <f t="shared" si="73"/>
        <v>0</v>
      </c>
      <c r="AA180" s="205">
        <f t="shared" si="73"/>
        <v>0</v>
      </c>
      <c r="AB180" s="205">
        <f t="shared" si="75"/>
        <v>0</v>
      </c>
      <c r="AC180" s="205">
        <f t="shared" si="75"/>
        <v>0</v>
      </c>
      <c r="AD180" s="212"/>
      <c r="AE180" s="212"/>
      <c r="AF180" s="212"/>
      <c r="AG180" s="212"/>
      <c r="AH180" s="212">
        <f>G180</f>
        <v>20.196424</v>
      </c>
      <c r="AI180" s="212"/>
      <c r="AJ180" s="212"/>
      <c r="AK180" s="212"/>
      <c r="AL180" s="212"/>
      <c r="AM180" s="212"/>
      <c r="AN180" s="206">
        <f t="shared" si="74"/>
        <v>20.196424</v>
      </c>
      <c r="AO180" s="206">
        <f t="shared" si="74"/>
        <v>0</v>
      </c>
      <c r="AP180" s="207">
        <f t="shared" si="71"/>
        <v>20.196424</v>
      </c>
      <c r="AQ180" s="295">
        <f t="shared" si="72"/>
        <v>0</v>
      </c>
      <c r="AR180" s="211"/>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c r="CO180" s="213"/>
      <c r="CP180" s="213"/>
      <c r="CQ180" s="213"/>
      <c r="CR180" s="213"/>
      <c r="CS180" s="213"/>
      <c r="CT180" s="213"/>
      <c r="CU180" s="213"/>
      <c r="CV180" s="213"/>
      <c r="CW180" s="213"/>
      <c r="CX180" s="213"/>
      <c r="CY180" s="213"/>
      <c r="CZ180" s="214"/>
      <c r="DA180" s="214"/>
      <c r="DB180" s="214"/>
      <c r="DC180" s="214"/>
      <c r="DD180" s="214"/>
      <c r="DE180" s="214"/>
      <c r="DF180" s="214"/>
      <c r="DG180" s="214"/>
      <c r="DH180" s="214"/>
      <c r="DI180" s="214"/>
      <c r="DJ180" s="214"/>
      <c r="DK180" s="214"/>
      <c r="DL180" s="214"/>
      <c r="DM180" s="214"/>
    </row>
    <row r="181" spans="1:117" s="215" customFormat="1" ht="12.75" hidden="1">
      <c r="A181" s="219">
        <v>6</v>
      </c>
      <c r="B181" s="250" t="s">
        <v>412</v>
      </c>
      <c r="C181" s="210"/>
      <c r="D181" s="210"/>
      <c r="E181" s="210"/>
      <c r="F181" s="210"/>
      <c r="G181" s="202">
        <v>683.901375</v>
      </c>
      <c r="H181" s="211"/>
      <c r="I181" s="203"/>
      <c r="J181" s="203"/>
      <c r="K181" s="203"/>
      <c r="L181" s="203"/>
      <c r="M181" s="203"/>
      <c r="N181" s="203"/>
      <c r="O181" s="203"/>
      <c r="P181" s="203"/>
      <c r="Q181" s="203"/>
      <c r="R181" s="203"/>
      <c r="S181" s="203"/>
      <c r="T181" s="203"/>
      <c r="U181" s="203"/>
      <c r="V181" s="203"/>
      <c r="W181" s="203"/>
      <c r="X181" s="202">
        <v>683.901</v>
      </c>
      <c r="Y181" s="202">
        <v>459.46</v>
      </c>
      <c r="Z181" s="205">
        <f t="shared" si="73"/>
        <v>683.901</v>
      </c>
      <c r="AA181" s="205">
        <f t="shared" si="73"/>
        <v>459.46</v>
      </c>
      <c r="AB181" s="203">
        <f t="shared" si="75"/>
        <v>683.901</v>
      </c>
      <c r="AC181" s="203">
        <f t="shared" si="75"/>
        <v>459.46</v>
      </c>
      <c r="AD181" s="212"/>
      <c r="AE181" s="212"/>
      <c r="AF181" s="212"/>
      <c r="AG181" s="212"/>
      <c r="AH181" s="212"/>
      <c r="AI181" s="212"/>
      <c r="AJ181" s="212"/>
      <c r="AK181" s="212"/>
      <c r="AL181" s="212"/>
      <c r="AM181" s="212"/>
      <c r="AN181" s="206">
        <f t="shared" si="74"/>
        <v>0</v>
      </c>
      <c r="AO181" s="206">
        <f t="shared" si="74"/>
        <v>0</v>
      </c>
      <c r="AP181" s="207">
        <f t="shared" si="71"/>
        <v>683.901</v>
      </c>
      <c r="AQ181" s="295">
        <f t="shared" si="72"/>
        <v>459.46</v>
      </c>
      <c r="AR181" s="211"/>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c r="CO181" s="213"/>
      <c r="CP181" s="213"/>
      <c r="CQ181" s="213"/>
      <c r="CR181" s="213"/>
      <c r="CS181" s="213"/>
      <c r="CT181" s="213"/>
      <c r="CU181" s="213"/>
      <c r="CV181" s="213"/>
      <c r="CW181" s="213"/>
      <c r="CX181" s="213"/>
      <c r="CY181" s="213"/>
      <c r="CZ181" s="214"/>
      <c r="DA181" s="214"/>
      <c r="DB181" s="214"/>
      <c r="DC181" s="214"/>
      <c r="DD181" s="214"/>
      <c r="DE181" s="214"/>
      <c r="DF181" s="214"/>
      <c r="DG181" s="214"/>
      <c r="DH181" s="214"/>
      <c r="DI181" s="214"/>
      <c r="DJ181" s="214"/>
      <c r="DK181" s="214"/>
      <c r="DL181" s="214"/>
      <c r="DM181" s="214"/>
    </row>
    <row r="182" spans="1:117" s="215" customFormat="1" ht="25.5" hidden="1">
      <c r="A182" s="219">
        <v>7</v>
      </c>
      <c r="B182" s="245" t="s">
        <v>456</v>
      </c>
      <c r="C182" s="210"/>
      <c r="D182" s="210"/>
      <c r="E182" s="210"/>
      <c r="F182" s="210"/>
      <c r="G182" s="202">
        <v>41.510869</v>
      </c>
      <c r="H182" s="211"/>
      <c r="I182" s="203"/>
      <c r="J182" s="203"/>
      <c r="K182" s="203"/>
      <c r="L182" s="203"/>
      <c r="M182" s="203"/>
      <c r="N182" s="203"/>
      <c r="O182" s="203"/>
      <c r="P182" s="203"/>
      <c r="Q182" s="203"/>
      <c r="R182" s="203"/>
      <c r="S182" s="203"/>
      <c r="T182" s="203"/>
      <c r="U182" s="203"/>
      <c r="V182" s="203"/>
      <c r="W182" s="203"/>
      <c r="X182" s="204"/>
      <c r="Y182" s="204"/>
      <c r="Z182" s="205">
        <f t="shared" si="73"/>
        <v>0</v>
      </c>
      <c r="AA182" s="205">
        <f t="shared" si="73"/>
        <v>0</v>
      </c>
      <c r="AB182" s="205">
        <v>41.511</v>
      </c>
      <c r="AC182" s="205">
        <f t="shared" si="75"/>
        <v>0</v>
      </c>
      <c r="AD182" s="212"/>
      <c r="AE182" s="212"/>
      <c r="AF182" s="212"/>
      <c r="AG182" s="212"/>
      <c r="AH182" s="212"/>
      <c r="AI182" s="212"/>
      <c r="AJ182" s="212"/>
      <c r="AK182" s="212"/>
      <c r="AL182" s="212"/>
      <c r="AM182" s="212"/>
      <c r="AN182" s="206">
        <f t="shared" si="74"/>
        <v>0</v>
      </c>
      <c r="AO182" s="206">
        <f t="shared" si="74"/>
        <v>0</v>
      </c>
      <c r="AP182" s="207">
        <f t="shared" si="71"/>
        <v>41.511</v>
      </c>
      <c r="AQ182" s="295">
        <f t="shared" si="72"/>
        <v>0</v>
      </c>
      <c r="AR182" s="211"/>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c r="CO182" s="213"/>
      <c r="CP182" s="213"/>
      <c r="CQ182" s="213"/>
      <c r="CR182" s="213"/>
      <c r="CS182" s="213"/>
      <c r="CT182" s="213"/>
      <c r="CU182" s="213"/>
      <c r="CV182" s="213"/>
      <c r="CW182" s="213"/>
      <c r="CX182" s="213"/>
      <c r="CY182" s="213"/>
      <c r="CZ182" s="214"/>
      <c r="DA182" s="214"/>
      <c r="DB182" s="214"/>
      <c r="DC182" s="214"/>
      <c r="DD182" s="214"/>
      <c r="DE182" s="214"/>
      <c r="DF182" s="214"/>
      <c r="DG182" s="214"/>
      <c r="DH182" s="214"/>
      <c r="DI182" s="214"/>
      <c r="DJ182" s="214"/>
      <c r="DK182" s="214"/>
      <c r="DL182" s="214"/>
      <c r="DM182" s="214"/>
    </row>
    <row r="183" spans="1:117" s="215" customFormat="1" ht="25.5" hidden="1">
      <c r="A183" s="219">
        <v>8</v>
      </c>
      <c r="B183" s="250" t="s">
        <v>494</v>
      </c>
      <c r="C183" s="210"/>
      <c r="D183" s="210"/>
      <c r="E183" s="210"/>
      <c r="F183" s="210"/>
      <c r="G183" s="202">
        <v>40.572771</v>
      </c>
      <c r="H183" s="211"/>
      <c r="I183" s="203"/>
      <c r="J183" s="203"/>
      <c r="K183" s="203"/>
      <c r="L183" s="203"/>
      <c r="M183" s="203"/>
      <c r="N183" s="203"/>
      <c r="O183" s="203"/>
      <c r="P183" s="203"/>
      <c r="Q183" s="203"/>
      <c r="R183" s="203"/>
      <c r="S183" s="203"/>
      <c r="T183" s="203"/>
      <c r="U183" s="203"/>
      <c r="V183" s="203"/>
      <c r="W183" s="203"/>
      <c r="X183" s="204"/>
      <c r="Y183" s="204"/>
      <c r="Z183" s="205">
        <f t="shared" si="73"/>
        <v>0</v>
      </c>
      <c r="AA183" s="205">
        <f t="shared" si="73"/>
        <v>0</v>
      </c>
      <c r="AB183" s="205">
        <v>40.573</v>
      </c>
      <c r="AC183" s="205">
        <f t="shared" si="75"/>
        <v>0</v>
      </c>
      <c r="AD183" s="212"/>
      <c r="AE183" s="212"/>
      <c r="AF183" s="212"/>
      <c r="AG183" s="212"/>
      <c r="AH183" s="212"/>
      <c r="AI183" s="212"/>
      <c r="AJ183" s="212"/>
      <c r="AK183" s="212"/>
      <c r="AL183" s="212"/>
      <c r="AM183" s="212"/>
      <c r="AN183" s="206">
        <f t="shared" si="74"/>
        <v>0</v>
      </c>
      <c r="AO183" s="206">
        <f t="shared" si="74"/>
        <v>0</v>
      </c>
      <c r="AP183" s="207">
        <f t="shared" si="71"/>
        <v>40.573</v>
      </c>
      <c r="AQ183" s="295">
        <f t="shared" si="72"/>
        <v>0</v>
      </c>
      <c r="AR183" s="211"/>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c r="CO183" s="213"/>
      <c r="CP183" s="213"/>
      <c r="CQ183" s="213"/>
      <c r="CR183" s="213"/>
      <c r="CS183" s="213"/>
      <c r="CT183" s="213"/>
      <c r="CU183" s="213"/>
      <c r="CV183" s="213"/>
      <c r="CW183" s="213"/>
      <c r="CX183" s="213"/>
      <c r="CY183" s="213"/>
      <c r="CZ183" s="214"/>
      <c r="DA183" s="214"/>
      <c r="DB183" s="214"/>
      <c r="DC183" s="214"/>
      <c r="DD183" s="214"/>
      <c r="DE183" s="214"/>
      <c r="DF183" s="214"/>
      <c r="DG183" s="214"/>
      <c r="DH183" s="214"/>
      <c r="DI183" s="214"/>
      <c r="DJ183" s="214"/>
      <c r="DK183" s="214"/>
      <c r="DL183" s="214"/>
      <c r="DM183" s="214"/>
    </row>
    <row r="184" spans="1:117" s="215" customFormat="1" ht="25.5" hidden="1">
      <c r="A184" s="219">
        <v>9</v>
      </c>
      <c r="B184" s="250" t="s">
        <v>459</v>
      </c>
      <c r="C184" s="210"/>
      <c r="D184" s="210"/>
      <c r="E184" s="210"/>
      <c r="F184" s="210"/>
      <c r="G184" s="202">
        <v>61.914518</v>
      </c>
      <c r="H184" s="211"/>
      <c r="I184" s="203"/>
      <c r="J184" s="203"/>
      <c r="K184" s="203"/>
      <c r="L184" s="203"/>
      <c r="M184" s="203"/>
      <c r="N184" s="203"/>
      <c r="O184" s="203"/>
      <c r="P184" s="203"/>
      <c r="Q184" s="203"/>
      <c r="R184" s="203"/>
      <c r="S184" s="203"/>
      <c r="T184" s="203"/>
      <c r="U184" s="203"/>
      <c r="V184" s="202">
        <v>61.914</v>
      </c>
      <c r="W184" s="203"/>
      <c r="X184" s="204"/>
      <c r="Y184" s="202">
        <v>61.914</v>
      </c>
      <c r="Z184" s="205">
        <f t="shared" si="73"/>
        <v>61.914</v>
      </c>
      <c r="AA184" s="205">
        <f t="shared" si="73"/>
        <v>61.914</v>
      </c>
      <c r="AB184" s="235">
        <f t="shared" si="75"/>
        <v>61.914</v>
      </c>
      <c r="AC184" s="235">
        <f t="shared" si="75"/>
        <v>61.914</v>
      </c>
      <c r="AD184" s="212"/>
      <c r="AE184" s="212"/>
      <c r="AF184" s="212"/>
      <c r="AG184" s="212"/>
      <c r="AH184" s="212"/>
      <c r="AI184" s="212"/>
      <c r="AJ184" s="212"/>
      <c r="AK184" s="212"/>
      <c r="AL184" s="212"/>
      <c r="AM184" s="212"/>
      <c r="AN184" s="206">
        <f t="shared" si="74"/>
        <v>0</v>
      </c>
      <c r="AO184" s="206">
        <f t="shared" si="74"/>
        <v>0</v>
      </c>
      <c r="AP184" s="207">
        <f t="shared" si="71"/>
        <v>61.914</v>
      </c>
      <c r="AQ184" s="295">
        <f t="shared" si="72"/>
        <v>61.914</v>
      </c>
      <c r="AR184" s="211"/>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c r="CO184" s="213"/>
      <c r="CP184" s="213"/>
      <c r="CQ184" s="213"/>
      <c r="CR184" s="213"/>
      <c r="CS184" s="213"/>
      <c r="CT184" s="213"/>
      <c r="CU184" s="213"/>
      <c r="CV184" s="213"/>
      <c r="CW184" s="213"/>
      <c r="CX184" s="213"/>
      <c r="CY184" s="213"/>
      <c r="CZ184" s="214"/>
      <c r="DA184" s="214"/>
      <c r="DB184" s="214"/>
      <c r="DC184" s="214"/>
      <c r="DD184" s="214"/>
      <c r="DE184" s="214"/>
      <c r="DF184" s="214"/>
      <c r="DG184" s="214"/>
      <c r="DH184" s="214"/>
      <c r="DI184" s="214"/>
      <c r="DJ184" s="214"/>
      <c r="DK184" s="214"/>
      <c r="DL184" s="214"/>
      <c r="DM184" s="214"/>
    </row>
    <row r="185" spans="1:117" s="215" customFormat="1" ht="25.5" hidden="1">
      <c r="A185" s="219">
        <v>10</v>
      </c>
      <c r="B185" s="245" t="s">
        <v>495</v>
      </c>
      <c r="C185" s="210"/>
      <c r="D185" s="210"/>
      <c r="E185" s="210"/>
      <c r="F185" s="210"/>
      <c r="G185" s="202">
        <v>531.432937</v>
      </c>
      <c r="H185" s="211"/>
      <c r="I185" s="203"/>
      <c r="J185" s="203"/>
      <c r="K185" s="203"/>
      <c r="L185" s="203"/>
      <c r="M185" s="203"/>
      <c r="N185" s="203"/>
      <c r="O185" s="203"/>
      <c r="P185" s="203"/>
      <c r="Q185" s="203"/>
      <c r="R185" s="203"/>
      <c r="S185" s="203"/>
      <c r="T185" s="203"/>
      <c r="U185" s="203"/>
      <c r="V185" s="203"/>
      <c r="W185" s="203"/>
      <c r="X185" s="208">
        <v>364.611</v>
      </c>
      <c r="Y185" s="247">
        <v>300</v>
      </c>
      <c r="Z185" s="205">
        <f t="shared" si="73"/>
        <v>364.611</v>
      </c>
      <c r="AA185" s="205">
        <f t="shared" si="73"/>
        <v>300</v>
      </c>
      <c r="AB185" s="203">
        <f t="shared" si="75"/>
        <v>364.611</v>
      </c>
      <c r="AC185" s="203">
        <f t="shared" si="75"/>
        <v>300</v>
      </c>
      <c r="AD185" s="212"/>
      <c r="AE185" s="212"/>
      <c r="AF185" s="234">
        <f>G185-AB185</f>
        <v>166.82193700000005</v>
      </c>
      <c r="AG185" s="212"/>
      <c r="AH185" s="212"/>
      <c r="AI185" s="212"/>
      <c r="AJ185" s="212"/>
      <c r="AK185" s="212"/>
      <c r="AL185" s="212"/>
      <c r="AM185" s="212"/>
      <c r="AN185" s="206">
        <f t="shared" si="74"/>
        <v>166.82193700000005</v>
      </c>
      <c r="AO185" s="206">
        <f t="shared" si="74"/>
        <v>0</v>
      </c>
      <c r="AP185" s="207">
        <f t="shared" si="71"/>
        <v>531.432937</v>
      </c>
      <c r="AQ185" s="295">
        <f t="shared" si="72"/>
        <v>300</v>
      </c>
      <c r="AR185" s="211"/>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c r="CO185" s="213"/>
      <c r="CP185" s="213"/>
      <c r="CQ185" s="213"/>
      <c r="CR185" s="213"/>
      <c r="CS185" s="213"/>
      <c r="CT185" s="213"/>
      <c r="CU185" s="213"/>
      <c r="CV185" s="213"/>
      <c r="CW185" s="213"/>
      <c r="CX185" s="213"/>
      <c r="CY185" s="213"/>
      <c r="CZ185" s="214"/>
      <c r="DA185" s="214"/>
      <c r="DB185" s="214"/>
      <c r="DC185" s="214"/>
      <c r="DD185" s="214"/>
      <c r="DE185" s="214"/>
      <c r="DF185" s="214"/>
      <c r="DG185" s="214"/>
      <c r="DH185" s="214"/>
      <c r="DI185" s="214"/>
      <c r="DJ185" s="214"/>
      <c r="DK185" s="214"/>
      <c r="DL185" s="214"/>
      <c r="DM185" s="214"/>
    </row>
    <row r="186" spans="1:117" s="215" customFormat="1" ht="12.75" hidden="1">
      <c r="A186" s="219">
        <v>11</v>
      </c>
      <c r="B186" s="245" t="s">
        <v>496</v>
      </c>
      <c r="C186" s="210"/>
      <c r="D186" s="210"/>
      <c r="E186" s="210"/>
      <c r="F186" s="210"/>
      <c r="G186" s="202">
        <v>70.626857</v>
      </c>
      <c r="H186" s="211"/>
      <c r="I186" s="203"/>
      <c r="J186" s="203"/>
      <c r="K186" s="203"/>
      <c r="L186" s="203"/>
      <c r="M186" s="203"/>
      <c r="N186" s="203"/>
      <c r="O186" s="203"/>
      <c r="P186" s="203"/>
      <c r="Q186" s="203"/>
      <c r="R186" s="203"/>
      <c r="S186" s="203"/>
      <c r="T186" s="203"/>
      <c r="U186" s="203"/>
      <c r="V186" s="203"/>
      <c r="W186" s="203"/>
      <c r="X186" s="240">
        <v>70.626</v>
      </c>
      <c r="Y186" s="240">
        <v>70.626</v>
      </c>
      <c r="Z186" s="205">
        <f t="shared" si="73"/>
        <v>70.626</v>
      </c>
      <c r="AA186" s="205">
        <f t="shared" si="73"/>
        <v>70.626</v>
      </c>
      <c r="AB186" s="205">
        <f t="shared" si="75"/>
        <v>70.626</v>
      </c>
      <c r="AC186" s="205">
        <f t="shared" si="75"/>
        <v>70.626</v>
      </c>
      <c r="AD186" s="212"/>
      <c r="AE186" s="212"/>
      <c r="AF186" s="212"/>
      <c r="AG186" s="212"/>
      <c r="AH186" s="212"/>
      <c r="AI186" s="212"/>
      <c r="AJ186" s="212"/>
      <c r="AK186" s="212"/>
      <c r="AL186" s="212"/>
      <c r="AM186" s="212"/>
      <c r="AN186" s="206">
        <f t="shared" si="74"/>
        <v>0</v>
      </c>
      <c r="AO186" s="206">
        <f t="shared" si="74"/>
        <v>0</v>
      </c>
      <c r="AP186" s="207">
        <f t="shared" si="71"/>
        <v>70.626</v>
      </c>
      <c r="AQ186" s="295">
        <f t="shared" si="72"/>
        <v>70.626</v>
      </c>
      <c r="AR186" s="211"/>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c r="CO186" s="213"/>
      <c r="CP186" s="213"/>
      <c r="CQ186" s="213"/>
      <c r="CR186" s="213"/>
      <c r="CS186" s="213"/>
      <c r="CT186" s="213"/>
      <c r="CU186" s="213"/>
      <c r="CV186" s="213"/>
      <c r="CW186" s="213"/>
      <c r="CX186" s="213"/>
      <c r="CY186" s="213"/>
      <c r="CZ186" s="214"/>
      <c r="DA186" s="214"/>
      <c r="DB186" s="214"/>
      <c r="DC186" s="214"/>
      <c r="DD186" s="214"/>
      <c r="DE186" s="214"/>
      <c r="DF186" s="214"/>
      <c r="DG186" s="214"/>
      <c r="DH186" s="214"/>
      <c r="DI186" s="214"/>
      <c r="DJ186" s="214"/>
      <c r="DK186" s="214"/>
      <c r="DL186" s="214"/>
      <c r="DM186" s="214"/>
    </row>
    <row r="187" spans="1:117" s="215" customFormat="1" ht="38.25" hidden="1">
      <c r="A187" s="219">
        <v>12</v>
      </c>
      <c r="B187" s="245" t="s">
        <v>497</v>
      </c>
      <c r="C187" s="210"/>
      <c r="D187" s="210"/>
      <c r="E187" s="210"/>
      <c r="F187" s="210"/>
      <c r="G187" s="202">
        <v>5.146083</v>
      </c>
      <c r="H187" s="211"/>
      <c r="I187" s="203"/>
      <c r="J187" s="203"/>
      <c r="K187" s="203"/>
      <c r="L187" s="203"/>
      <c r="M187" s="203"/>
      <c r="N187" s="203"/>
      <c r="O187" s="203"/>
      <c r="P187" s="203"/>
      <c r="Q187" s="203"/>
      <c r="R187" s="203"/>
      <c r="S187" s="203"/>
      <c r="T187" s="203"/>
      <c r="U187" s="203"/>
      <c r="V187" s="203"/>
      <c r="W187" s="203"/>
      <c r="X187" s="202">
        <v>5.146</v>
      </c>
      <c r="Y187" s="202">
        <v>5.146</v>
      </c>
      <c r="Z187" s="205">
        <f t="shared" si="73"/>
        <v>5.146</v>
      </c>
      <c r="AA187" s="205">
        <f t="shared" si="73"/>
        <v>5.146</v>
      </c>
      <c r="AB187" s="203">
        <f t="shared" si="75"/>
        <v>5.146</v>
      </c>
      <c r="AC187" s="203">
        <f t="shared" si="75"/>
        <v>5.146</v>
      </c>
      <c r="AD187" s="212"/>
      <c r="AE187" s="212"/>
      <c r="AF187" s="212"/>
      <c r="AG187" s="212"/>
      <c r="AH187" s="212"/>
      <c r="AI187" s="212"/>
      <c r="AJ187" s="212"/>
      <c r="AK187" s="212"/>
      <c r="AL187" s="212"/>
      <c r="AM187" s="212"/>
      <c r="AN187" s="206">
        <f t="shared" si="74"/>
        <v>0</v>
      </c>
      <c r="AO187" s="206">
        <f t="shared" si="74"/>
        <v>0</v>
      </c>
      <c r="AP187" s="207">
        <f t="shared" si="71"/>
        <v>5.146</v>
      </c>
      <c r="AQ187" s="295">
        <f t="shared" si="72"/>
        <v>5.146</v>
      </c>
      <c r="AR187" s="211"/>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c r="CO187" s="213"/>
      <c r="CP187" s="213"/>
      <c r="CQ187" s="213"/>
      <c r="CR187" s="213"/>
      <c r="CS187" s="213"/>
      <c r="CT187" s="213"/>
      <c r="CU187" s="213"/>
      <c r="CV187" s="213"/>
      <c r="CW187" s="213"/>
      <c r="CX187" s="213"/>
      <c r="CY187" s="213"/>
      <c r="CZ187" s="214"/>
      <c r="DA187" s="214"/>
      <c r="DB187" s="214"/>
      <c r="DC187" s="214"/>
      <c r="DD187" s="214"/>
      <c r="DE187" s="214"/>
      <c r="DF187" s="214"/>
      <c r="DG187" s="214"/>
      <c r="DH187" s="214"/>
      <c r="DI187" s="214"/>
      <c r="DJ187" s="214"/>
      <c r="DK187" s="214"/>
      <c r="DL187" s="214"/>
      <c r="DM187" s="214"/>
    </row>
    <row r="188" spans="1:117" s="215" customFormat="1" ht="25.5" hidden="1">
      <c r="A188" s="219">
        <v>13</v>
      </c>
      <c r="B188" s="245" t="s">
        <v>498</v>
      </c>
      <c r="C188" s="210"/>
      <c r="D188" s="210"/>
      <c r="E188" s="210"/>
      <c r="F188" s="210"/>
      <c r="G188" s="202">
        <v>12.85456</v>
      </c>
      <c r="H188" s="211"/>
      <c r="I188" s="203"/>
      <c r="J188" s="203"/>
      <c r="K188" s="203"/>
      <c r="L188" s="203"/>
      <c r="M188" s="203"/>
      <c r="N188" s="203"/>
      <c r="O188" s="203"/>
      <c r="P188" s="203"/>
      <c r="Q188" s="203"/>
      <c r="R188" s="203"/>
      <c r="S188" s="203"/>
      <c r="T188" s="203"/>
      <c r="U188" s="203"/>
      <c r="V188" s="203"/>
      <c r="W188" s="203"/>
      <c r="X188" s="204"/>
      <c r="Y188" s="204"/>
      <c r="Z188" s="205">
        <f t="shared" si="73"/>
        <v>0</v>
      </c>
      <c r="AA188" s="205">
        <f t="shared" si="73"/>
        <v>0</v>
      </c>
      <c r="AB188" s="205">
        <v>12.103</v>
      </c>
      <c r="AC188" s="205">
        <f t="shared" si="75"/>
        <v>0</v>
      </c>
      <c r="AD188" s="212"/>
      <c r="AE188" s="212"/>
      <c r="AF188" s="212"/>
      <c r="AG188" s="212"/>
      <c r="AH188" s="212"/>
      <c r="AI188" s="212"/>
      <c r="AJ188" s="212"/>
      <c r="AK188" s="212"/>
      <c r="AL188" s="212"/>
      <c r="AM188" s="212"/>
      <c r="AN188" s="206">
        <f t="shared" si="74"/>
        <v>0</v>
      </c>
      <c r="AO188" s="206">
        <f t="shared" si="74"/>
        <v>0</v>
      </c>
      <c r="AP188" s="207">
        <f t="shared" si="71"/>
        <v>12.103</v>
      </c>
      <c r="AQ188" s="295">
        <f t="shared" si="72"/>
        <v>0</v>
      </c>
      <c r="AR188" s="211"/>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c r="CO188" s="213"/>
      <c r="CP188" s="213"/>
      <c r="CQ188" s="213"/>
      <c r="CR188" s="213"/>
      <c r="CS188" s="213"/>
      <c r="CT188" s="213"/>
      <c r="CU188" s="213"/>
      <c r="CV188" s="213"/>
      <c r="CW188" s="213"/>
      <c r="CX188" s="213"/>
      <c r="CY188" s="213"/>
      <c r="CZ188" s="214"/>
      <c r="DA188" s="214"/>
      <c r="DB188" s="214"/>
      <c r="DC188" s="214"/>
      <c r="DD188" s="214"/>
      <c r="DE188" s="214"/>
      <c r="DF188" s="214"/>
      <c r="DG188" s="214"/>
      <c r="DH188" s="214"/>
      <c r="DI188" s="214"/>
      <c r="DJ188" s="214"/>
      <c r="DK188" s="214"/>
      <c r="DL188" s="214"/>
      <c r="DM188" s="214"/>
    </row>
    <row r="189" spans="1:117" s="215" customFormat="1" ht="25.5" hidden="1">
      <c r="A189" s="219">
        <v>14</v>
      </c>
      <c r="B189" s="245" t="s">
        <v>499</v>
      </c>
      <c r="C189" s="210"/>
      <c r="D189" s="210"/>
      <c r="E189" s="210"/>
      <c r="F189" s="210"/>
      <c r="G189" s="202">
        <v>275.414</v>
      </c>
      <c r="H189" s="211"/>
      <c r="I189" s="203"/>
      <c r="J189" s="203"/>
      <c r="K189" s="203"/>
      <c r="L189" s="203"/>
      <c r="M189" s="203"/>
      <c r="N189" s="203"/>
      <c r="O189" s="203"/>
      <c r="P189" s="203"/>
      <c r="Q189" s="203"/>
      <c r="R189" s="203"/>
      <c r="S189" s="203"/>
      <c r="T189" s="203"/>
      <c r="U189" s="203"/>
      <c r="V189" s="203"/>
      <c r="W189" s="203"/>
      <c r="X189" s="251">
        <v>266.497</v>
      </c>
      <c r="Y189" s="204"/>
      <c r="Z189" s="205">
        <f t="shared" si="73"/>
        <v>266.497</v>
      </c>
      <c r="AA189" s="205">
        <f t="shared" si="73"/>
        <v>0</v>
      </c>
      <c r="AB189" s="205">
        <v>269.911</v>
      </c>
      <c r="AC189" s="205">
        <v>70</v>
      </c>
      <c r="AD189" s="212"/>
      <c r="AE189" s="212"/>
      <c r="AF189" s="212"/>
      <c r="AG189" s="212"/>
      <c r="AH189" s="212"/>
      <c r="AI189" s="212"/>
      <c r="AJ189" s="212"/>
      <c r="AK189" s="212"/>
      <c r="AL189" s="212"/>
      <c r="AM189" s="212"/>
      <c r="AN189" s="206">
        <f t="shared" si="74"/>
        <v>0</v>
      </c>
      <c r="AO189" s="206">
        <f t="shared" si="74"/>
        <v>0</v>
      </c>
      <c r="AP189" s="207">
        <f t="shared" si="71"/>
        <v>269.911</v>
      </c>
      <c r="AQ189" s="295">
        <f t="shared" si="72"/>
        <v>70</v>
      </c>
      <c r="AR189" s="211"/>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c r="CO189" s="213"/>
      <c r="CP189" s="213"/>
      <c r="CQ189" s="213"/>
      <c r="CR189" s="213"/>
      <c r="CS189" s="213"/>
      <c r="CT189" s="213"/>
      <c r="CU189" s="213"/>
      <c r="CV189" s="213"/>
      <c r="CW189" s="213"/>
      <c r="CX189" s="213"/>
      <c r="CY189" s="213"/>
      <c r="CZ189" s="214"/>
      <c r="DA189" s="214"/>
      <c r="DB189" s="214"/>
      <c r="DC189" s="214"/>
      <c r="DD189" s="214"/>
      <c r="DE189" s="214"/>
      <c r="DF189" s="214"/>
      <c r="DG189" s="214"/>
      <c r="DH189" s="214"/>
      <c r="DI189" s="214"/>
      <c r="DJ189" s="214"/>
      <c r="DK189" s="214"/>
      <c r="DL189" s="214"/>
      <c r="DM189" s="214"/>
    </row>
    <row r="190" spans="1:117" s="215" customFormat="1" ht="25.5" hidden="1">
      <c r="A190" s="219">
        <v>15</v>
      </c>
      <c r="B190" s="245" t="s">
        <v>500</v>
      </c>
      <c r="C190" s="210"/>
      <c r="D190" s="210"/>
      <c r="E190" s="210"/>
      <c r="F190" s="210"/>
      <c r="G190" s="202">
        <v>233.349</v>
      </c>
      <c r="H190" s="211"/>
      <c r="I190" s="203"/>
      <c r="J190" s="203"/>
      <c r="K190" s="203"/>
      <c r="L190" s="203"/>
      <c r="M190" s="203"/>
      <c r="N190" s="203"/>
      <c r="O190" s="203"/>
      <c r="P190" s="203"/>
      <c r="Q190" s="203"/>
      <c r="R190" s="203"/>
      <c r="S190" s="203"/>
      <c r="T190" s="203"/>
      <c r="U190" s="203"/>
      <c r="V190" s="202">
        <v>233.3488</v>
      </c>
      <c r="W190" s="203">
        <v>180.935</v>
      </c>
      <c r="X190" s="204"/>
      <c r="Y190" s="204"/>
      <c r="Z190" s="205">
        <f t="shared" si="73"/>
        <v>233.3488</v>
      </c>
      <c r="AA190" s="205">
        <f t="shared" si="73"/>
        <v>180.935</v>
      </c>
      <c r="AB190" s="203">
        <f t="shared" si="75"/>
        <v>233.3488</v>
      </c>
      <c r="AC190" s="203">
        <f t="shared" si="75"/>
        <v>180.935</v>
      </c>
      <c r="AD190" s="212"/>
      <c r="AE190" s="212"/>
      <c r="AF190" s="212"/>
      <c r="AG190" s="212"/>
      <c r="AH190" s="212"/>
      <c r="AI190" s="212"/>
      <c r="AJ190" s="212"/>
      <c r="AK190" s="212"/>
      <c r="AL190" s="212"/>
      <c r="AM190" s="212"/>
      <c r="AN190" s="206">
        <f t="shared" si="74"/>
        <v>0</v>
      </c>
      <c r="AO190" s="206">
        <f t="shared" si="74"/>
        <v>0</v>
      </c>
      <c r="AP190" s="207">
        <f t="shared" si="71"/>
        <v>233.3488</v>
      </c>
      <c r="AQ190" s="295">
        <f t="shared" si="72"/>
        <v>180.935</v>
      </c>
      <c r="AR190" s="211"/>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c r="CO190" s="213"/>
      <c r="CP190" s="213"/>
      <c r="CQ190" s="213"/>
      <c r="CR190" s="213"/>
      <c r="CS190" s="213"/>
      <c r="CT190" s="213"/>
      <c r="CU190" s="213"/>
      <c r="CV190" s="213"/>
      <c r="CW190" s="213"/>
      <c r="CX190" s="213"/>
      <c r="CY190" s="213"/>
      <c r="CZ190" s="214"/>
      <c r="DA190" s="214"/>
      <c r="DB190" s="214"/>
      <c r="DC190" s="214"/>
      <c r="DD190" s="214"/>
      <c r="DE190" s="214"/>
      <c r="DF190" s="214"/>
      <c r="DG190" s="214"/>
      <c r="DH190" s="214"/>
      <c r="DI190" s="214"/>
      <c r="DJ190" s="214"/>
      <c r="DK190" s="214"/>
      <c r="DL190" s="214"/>
      <c r="DM190" s="214"/>
    </row>
    <row r="191" spans="1:117" s="215" customFormat="1" ht="25.5" hidden="1">
      <c r="A191" s="219">
        <v>16</v>
      </c>
      <c r="B191" s="245" t="s">
        <v>501</v>
      </c>
      <c r="C191" s="210"/>
      <c r="D191" s="210"/>
      <c r="E191" s="210"/>
      <c r="F191" s="210"/>
      <c r="G191" s="202">
        <v>476.151</v>
      </c>
      <c r="H191" s="211"/>
      <c r="I191" s="203"/>
      <c r="J191" s="203"/>
      <c r="K191" s="203"/>
      <c r="L191" s="203"/>
      <c r="M191" s="203"/>
      <c r="N191" s="203"/>
      <c r="O191" s="203"/>
      <c r="P191" s="203"/>
      <c r="Q191" s="203"/>
      <c r="R191" s="203"/>
      <c r="S191" s="203"/>
      <c r="T191" s="203"/>
      <c r="U191" s="203"/>
      <c r="V191" s="203"/>
      <c r="W191" s="203"/>
      <c r="X191" s="204"/>
      <c r="Y191" s="204"/>
      <c r="Z191" s="205">
        <f t="shared" si="73"/>
        <v>0</v>
      </c>
      <c r="AA191" s="205">
        <f t="shared" si="73"/>
        <v>0</v>
      </c>
      <c r="AB191" s="205">
        <f t="shared" si="75"/>
        <v>0</v>
      </c>
      <c r="AC191" s="205">
        <f t="shared" si="75"/>
        <v>0</v>
      </c>
      <c r="AD191" s="212"/>
      <c r="AE191" s="212"/>
      <c r="AF191" s="212"/>
      <c r="AG191" s="212"/>
      <c r="AH191" s="212">
        <f>G191</f>
        <v>476.151</v>
      </c>
      <c r="AI191" s="212"/>
      <c r="AJ191" s="212"/>
      <c r="AK191" s="212"/>
      <c r="AL191" s="212"/>
      <c r="AM191" s="212"/>
      <c r="AN191" s="206">
        <f t="shared" si="74"/>
        <v>476.151</v>
      </c>
      <c r="AO191" s="206">
        <f t="shared" si="74"/>
        <v>0</v>
      </c>
      <c r="AP191" s="207">
        <f t="shared" si="71"/>
        <v>476.151</v>
      </c>
      <c r="AQ191" s="295">
        <f t="shared" si="72"/>
        <v>0</v>
      </c>
      <c r="AR191" s="211"/>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c r="CO191" s="213"/>
      <c r="CP191" s="213"/>
      <c r="CQ191" s="213"/>
      <c r="CR191" s="213"/>
      <c r="CS191" s="213"/>
      <c r="CT191" s="213"/>
      <c r="CU191" s="213"/>
      <c r="CV191" s="213"/>
      <c r="CW191" s="213"/>
      <c r="CX191" s="213"/>
      <c r="CY191" s="213"/>
      <c r="CZ191" s="214"/>
      <c r="DA191" s="214"/>
      <c r="DB191" s="214"/>
      <c r="DC191" s="214"/>
      <c r="DD191" s="214"/>
      <c r="DE191" s="214"/>
      <c r="DF191" s="214"/>
      <c r="DG191" s="214"/>
      <c r="DH191" s="214"/>
      <c r="DI191" s="214"/>
      <c r="DJ191" s="214"/>
      <c r="DK191" s="214"/>
      <c r="DL191" s="214"/>
      <c r="DM191" s="214"/>
    </row>
    <row r="192" spans="1:117" s="215" customFormat="1" ht="25.5" hidden="1">
      <c r="A192" s="219">
        <v>17</v>
      </c>
      <c r="B192" s="245" t="s">
        <v>502</v>
      </c>
      <c r="C192" s="210"/>
      <c r="D192" s="210"/>
      <c r="E192" s="210"/>
      <c r="F192" s="210"/>
      <c r="G192" s="202">
        <v>132.8582</v>
      </c>
      <c r="H192" s="211"/>
      <c r="I192" s="203"/>
      <c r="J192" s="203"/>
      <c r="K192" s="203"/>
      <c r="L192" s="203"/>
      <c r="M192" s="203"/>
      <c r="N192" s="203"/>
      <c r="O192" s="203"/>
      <c r="P192" s="203"/>
      <c r="Q192" s="203"/>
      <c r="R192" s="203"/>
      <c r="S192" s="203"/>
      <c r="T192" s="203"/>
      <c r="U192" s="203"/>
      <c r="V192" s="203"/>
      <c r="W192" s="203"/>
      <c r="X192" s="205">
        <v>132.858</v>
      </c>
      <c r="Y192" s="247">
        <v>50</v>
      </c>
      <c r="Z192" s="205">
        <f t="shared" si="73"/>
        <v>132.858</v>
      </c>
      <c r="AA192" s="205">
        <f t="shared" si="73"/>
        <v>50</v>
      </c>
      <c r="AB192" s="203">
        <f t="shared" si="75"/>
        <v>132.858</v>
      </c>
      <c r="AC192" s="203">
        <f t="shared" si="75"/>
        <v>50</v>
      </c>
      <c r="AD192" s="212"/>
      <c r="AE192" s="212"/>
      <c r="AF192" s="212"/>
      <c r="AG192" s="212"/>
      <c r="AH192" s="212"/>
      <c r="AI192" s="212"/>
      <c r="AJ192" s="212"/>
      <c r="AK192" s="212"/>
      <c r="AL192" s="212"/>
      <c r="AM192" s="212"/>
      <c r="AN192" s="206">
        <f t="shared" si="74"/>
        <v>0</v>
      </c>
      <c r="AO192" s="206">
        <f t="shared" si="74"/>
        <v>0</v>
      </c>
      <c r="AP192" s="207">
        <f t="shared" si="71"/>
        <v>132.858</v>
      </c>
      <c r="AQ192" s="295">
        <f t="shared" si="72"/>
        <v>50</v>
      </c>
      <c r="AR192" s="211"/>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c r="CO192" s="213"/>
      <c r="CP192" s="213"/>
      <c r="CQ192" s="213"/>
      <c r="CR192" s="213"/>
      <c r="CS192" s="213"/>
      <c r="CT192" s="213"/>
      <c r="CU192" s="213"/>
      <c r="CV192" s="213"/>
      <c r="CW192" s="213"/>
      <c r="CX192" s="213"/>
      <c r="CY192" s="213"/>
      <c r="CZ192" s="214"/>
      <c r="DA192" s="214"/>
      <c r="DB192" s="214"/>
      <c r="DC192" s="214"/>
      <c r="DD192" s="214"/>
      <c r="DE192" s="214"/>
      <c r="DF192" s="214"/>
      <c r="DG192" s="214"/>
      <c r="DH192" s="214"/>
      <c r="DI192" s="214"/>
      <c r="DJ192" s="214"/>
      <c r="DK192" s="214"/>
      <c r="DL192" s="214"/>
      <c r="DM192" s="214"/>
    </row>
    <row r="193" spans="1:117" s="215" customFormat="1" ht="25.5" hidden="1">
      <c r="A193" s="219">
        <v>18</v>
      </c>
      <c r="B193" s="245" t="s">
        <v>503</v>
      </c>
      <c r="C193" s="210"/>
      <c r="D193" s="210"/>
      <c r="E193" s="210"/>
      <c r="F193" s="210"/>
      <c r="G193" s="202">
        <v>12.37847</v>
      </c>
      <c r="H193" s="211"/>
      <c r="I193" s="203"/>
      <c r="J193" s="203"/>
      <c r="K193" s="203"/>
      <c r="L193" s="203"/>
      <c r="M193" s="203"/>
      <c r="N193" s="203"/>
      <c r="O193" s="203"/>
      <c r="P193" s="203"/>
      <c r="Q193" s="203"/>
      <c r="R193" s="203"/>
      <c r="S193" s="203"/>
      <c r="T193" s="203"/>
      <c r="U193" s="203"/>
      <c r="V193" s="203"/>
      <c r="W193" s="203"/>
      <c r="X193" s="203">
        <v>8</v>
      </c>
      <c r="Y193" s="204"/>
      <c r="Z193" s="205">
        <f t="shared" si="73"/>
        <v>8</v>
      </c>
      <c r="AA193" s="205">
        <f t="shared" si="73"/>
        <v>0</v>
      </c>
      <c r="AB193" s="203">
        <f t="shared" si="75"/>
        <v>8</v>
      </c>
      <c r="AC193" s="203">
        <v>8</v>
      </c>
      <c r="AD193" s="212"/>
      <c r="AE193" s="212"/>
      <c r="AF193" s="212"/>
      <c r="AG193" s="212"/>
      <c r="AH193" s="212">
        <f>G193</f>
        <v>12.37847</v>
      </c>
      <c r="AI193" s="212"/>
      <c r="AJ193" s="212"/>
      <c r="AK193" s="212"/>
      <c r="AL193" s="212"/>
      <c r="AM193" s="212"/>
      <c r="AN193" s="206">
        <f t="shared" si="74"/>
        <v>12.37847</v>
      </c>
      <c r="AO193" s="206">
        <f t="shared" si="74"/>
        <v>0</v>
      </c>
      <c r="AP193" s="207">
        <f t="shared" si="71"/>
        <v>20.37847</v>
      </c>
      <c r="AQ193" s="295">
        <f t="shared" si="72"/>
        <v>8</v>
      </c>
      <c r="AR193" s="211"/>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c r="CO193" s="213"/>
      <c r="CP193" s="213"/>
      <c r="CQ193" s="213"/>
      <c r="CR193" s="213"/>
      <c r="CS193" s="213"/>
      <c r="CT193" s="213"/>
      <c r="CU193" s="213"/>
      <c r="CV193" s="213"/>
      <c r="CW193" s="213"/>
      <c r="CX193" s="213"/>
      <c r="CY193" s="213"/>
      <c r="CZ193" s="214"/>
      <c r="DA193" s="214"/>
      <c r="DB193" s="214"/>
      <c r="DC193" s="214"/>
      <c r="DD193" s="214"/>
      <c r="DE193" s="214"/>
      <c r="DF193" s="214"/>
      <c r="DG193" s="214"/>
      <c r="DH193" s="214"/>
      <c r="DI193" s="214"/>
      <c r="DJ193" s="214"/>
      <c r="DK193" s="214"/>
      <c r="DL193" s="214"/>
      <c r="DM193" s="214"/>
    </row>
    <row r="194" spans="1:117" s="215" customFormat="1" ht="12.75" hidden="1">
      <c r="A194" s="219">
        <v>19</v>
      </c>
      <c r="B194" s="245" t="s">
        <v>399</v>
      </c>
      <c r="C194" s="210"/>
      <c r="D194" s="210"/>
      <c r="E194" s="210"/>
      <c r="F194" s="210"/>
      <c r="G194" s="202"/>
      <c r="H194" s="211"/>
      <c r="I194" s="203"/>
      <c r="J194" s="203"/>
      <c r="K194" s="203"/>
      <c r="L194" s="203"/>
      <c r="M194" s="203"/>
      <c r="N194" s="203"/>
      <c r="O194" s="203"/>
      <c r="P194" s="203"/>
      <c r="Q194" s="203"/>
      <c r="R194" s="203"/>
      <c r="S194" s="203"/>
      <c r="T194" s="203"/>
      <c r="U194" s="203"/>
      <c r="V194" s="203"/>
      <c r="W194" s="203"/>
      <c r="X194" s="204"/>
      <c r="Y194" s="204"/>
      <c r="Z194" s="205">
        <f t="shared" si="73"/>
        <v>0</v>
      </c>
      <c r="AA194" s="205">
        <f t="shared" si="73"/>
        <v>0</v>
      </c>
      <c r="AB194" s="205">
        <f t="shared" si="75"/>
        <v>0</v>
      </c>
      <c r="AC194" s="205">
        <f t="shared" si="75"/>
        <v>0</v>
      </c>
      <c r="AD194" s="212"/>
      <c r="AE194" s="212"/>
      <c r="AF194" s="212"/>
      <c r="AG194" s="212"/>
      <c r="AH194" s="212">
        <f>G194</f>
        <v>0</v>
      </c>
      <c r="AI194" s="212"/>
      <c r="AJ194" s="212"/>
      <c r="AK194" s="212"/>
      <c r="AL194" s="212"/>
      <c r="AM194" s="212"/>
      <c r="AN194" s="206">
        <f t="shared" si="74"/>
        <v>0</v>
      </c>
      <c r="AO194" s="206">
        <f t="shared" si="74"/>
        <v>0</v>
      </c>
      <c r="AP194" s="207">
        <f t="shared" si="71"/>
        <v>0</v>
      </c>
      <c r="AQ194" s="295">
        <f t="shared" si="72"/>
        <v>0</v>
      </c>
      <c r="AR194" s="211"/>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c r="CP194" s="213"/>
      <c r="CQ194" s="213"/>
      <c r="CR194" s="213"/>
      <c r="CS194" s="213"/>
      <c r="CT194" s="213"/>
      <c r="CU194" s="213"/>
      <c r="CV194" s="213"/>
      <c r="CW194" s="213"/>
      <c r="CX194" s="213"/>
      <c r="CY194" s="213"/>
      <c r="CZ194" s="214"/>
      <c r="DA194" s="214"/>
      <c r="DB194" s="214"/>
      <c r="DC194" s="214"/>
      <c r="DD194" s="214"/>
      <c r="DE194" s="214"/>
      <c r="DF194" s="214"/>
      <c r="DG194" s="214"/>
      <c r="DH194" s="214"/>
      <c r="DI194" s="214"/>
      <c r="DJ194" s="214"/>
      <c r="DK194" s="214"/>
      <c r="DL194" s="214"/>
      <c r="DM194" s="214"/>
    </row>
    <row r="195" spans="1:117" s="215" customFormat="1" ht="25.5" hidden="1">
      <c r="A195" s="219">
        <v>20</v>
      </c>
      <c r="B195" s="245" t="s">
        <v>504</v>
      </c>
      <c r="C195" s="210"/>
      <c r="D195" s="210"/>
      <c r="E195" s="210"/>
      <c r="F195" s="210"/>
      <c r="G195" s="202">
        <v>13.801659</v>
      </c>
      <c r="H195" s="211"/>
      <c r="I195" s="203"/>
      <c r="J195" s="203"/>
      <c r="K195" s="203"/>
      <c r="L195" s="203"/>
      <c r="M195" s="203"/>
      <c r="N195" s="203"/>
      <c r="O195" s="203"/>
      <c r="P195" s="203"/>
      <c r="Q195" s="203"/>
      <c r="R195" s="203"/>
      <c r="S195" s="203"/>
      <c r="T195" s="203"/>
      <c r="U195" s="203"/>
      <c r="V195" s="203"/>
      <c r="W195" s="203"/>
      <c r="X195" s="204"/>
      <c r="Y195" s="204"/>
      <c r="Z195" s="205">
        <f t="shared" si="73"/>
        <v>0</v>
      </c>
      <c r="AA195" s="205">
        <f t="shared" si="73"/>
        <v>0</v>
      </c>
      <c r="AB195" s="205">
        <f t="shared" si="75"/>
        <v>0</v>
      </c>
      <c r="AC195" s="205">
        <f t="shared" si="75"/>
        <v>0</v>
      </c>
      <c r="AD195" s="212"/>
      <c r="AE195" s="212"/>
      <c r="AF195" s="212"/>
      <c r="AG195" s="212"/>
      <c r="AH195" s="212">
        <f>G195</f>
        <v>13.801659</v>
      </c>
      <c r="AI195" s="212"/>
      <c r="AJ195" s="212"/>
      <c r="AK195" s="212"/>
      <c r="AL195" s="212"/>
      <c r="AM195" s="212"/>
      <c r="AN195" s="206">
        <f t="shared" si="74"/>
        <v>13.801659</v>
      </c>
      <c r="AO195" s="206">
        <f t="shared" si="74"/>
        <v>0</v>
      </c>
      <c r="AP195" s="207">
        <f t="shared" si="71"/>
        <v>13.801659</v>
      </c>
      <c r="AQ195" s="295">
        <f t="shared" si="72"/>
        <v>0</v>
      </c>
      <c r="AR195" s="211"/>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c r="CO195" s="213"/>
      <c r="CP195" s="213"/>
      <c r="CQ195" s="213"/>
      <c r="CR195" s="213"/>
      <c r="CS195" s="213"/>
      <c r="CT195" s="213"/>
      <c r="CU195" s="213"/>
      <c r="CV195" s="213"/>
      <c r="CW195" s="213"/>
      <c r="CX195" s="213"/>
      <c r="CY195" s="213"/>
      <c r="CZ195" s="214"/>
      <c r="DA195" s="214"/>
      <c r="DB195" s="214"/>
      <c r="DC195" s="214"/>
      <c r="DD195" s="214"/>
      <c r="DE195" s="214"/>
      <c r="DF195" s="214"/>
      <c r="DG195" s="214"/>
      <c r="DH195" s="214"/>
      <c r="DI195" s="214"/>
      <c r="DJ195" s="214"/>
      <c r="DK195" s="214"/>
      <c r="DL195" s="214"/>
      <c r="DM195" s="214"/>
    </row>
    <row r="196" spans="1:117" s="215" customFormat="1" ht="25.5" hidden="1">
      <c r="A196" s="246">
        <v>21</v>
      </c>
      <c r="B196" s="252" t="s">
        <v>505</v>
      </c>
      <c r="C196" s="220"/>
      <c r="D196" s="220"/>
      <c r="E196" s="220"/>
      <c r="F196" s="220"/>
      <c r="G196" s="222">
        <v>2.857486</v>
      </c>
      <c r="H196" s="221"/>
      <c r="I196" s="254"/>
      <c r="J196" s="254"/>
      <c r="K196" s="254"/>
      <c r="L196" s="254"/>
      <c r="M196" s="254"/>
      <c r="N196" s="254"/>
      <c r="O196" s="254"/>
      <c r="P196" s="254"/>
      <c r="Q196" s="254"/>
      <c r="R196" s="254"/>
      <c r="S196" s="254"/>
      <c r="T196" s="254"/>
      <c r="U196" s="254"/>
      <c r="V196" s="254"/>
      <c r="W196" s="254"/>
      <c r="X196" s="255"/>
      <c r="Y196" s="255"/>
      <c r="Z196" s="223">
        <f t="shared" si="73"/>
        <v>0</v>
      </c>
      <c r="AA196" s="223">
        <f t="shared" si="73"/>
        <v>0</v>
      </c>
      <c r="AB196" s="223">
        <f t="shared" si="75"/>
        <v>0</v>
      </c>
      <c r="AC196" s="223">
        <f t="shared" si="75"/>
        <v>0</v>
      </c>
      <c r="AD196" s="224"/>
      <c r="AE196" s="224"/>
      <c r="AF196" s="224"/>
      <c r="AG196" s="224"/>
      <c r="AH196" s="256">
        <f>G196</f>
        <v>2.857486</v>
      </c>
      <c r="AI196" s="224"/>
      <c r="AJ196" s="224"/>
      <c r="AK196" s="224"/>
      <c r="AL196" s="224"/>
      <c r="AM196" s="224"/>
      <c r="AN196" s="225">
        <f t="shared" si="74"/>
        <v>2.857486</v>
      </c>
      <c r="AO196" s="225">
        <f t="shared" si="74"/>
        <v>0</v>
      </c>
      <c r="AP196" s="226">
        <f t="shared" si="71"/>
        <v>2.857486</v>
      </c>
      <c r="AQ196" s="297">
        <f t="shared" si="72"/>
        <v>0</v>
      </c>
      <c r="AR196" s="221"/>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c r="CO196" s="213"/>
      <c r="CP196" s="213"/>
      <c r="CQ196" s="213"/>
      <c r="CR196" s="213"/>
      <c r="CS196" s="213"/>
      <c r="CT196" s="213"/>
      <c r="CU196" s="213"/>
      <c r="CV196" s="213"/>
      <c r="CW196" s="213"/>
      <c r="CX196" s="213"/>
      <c r="CY196" s="213"/>
      <c r="CZ196" s="214"/>
      <c r="DA196" s="214"/>
      <c r="DB196" s="214"/>
      <c r="DC196" s="214"/>
      <c r="DD196" s="214"/>
      <c r="DE196" s="214"/>
      <c r="DF196" s="214"/>
      <c r="DG196" s="214"/>
      <c r="DH196" s="214"/>
      <c r="DI196" s="214"/>
      <c r="DJ196" s="214"/>
      <c r="DK196" s="214"/>
      <c r="DL196" s="214"/>
      <c r="DM196" s="214"/>
    </row>
    <row r="197" spans="1:117" s="215" customFormat="1" ht="25.5" hidden="1">
      <c r="A197" s="219">
        <v>22</v>
      </c>
      <c r="B197" s="245" t="s">
        <v>461</v>
      </c>
      <c r="C197" s="210"/>
      <c r="D197" s="210"/>
      <c r="E197" s="210"/>
      <c r="F197" s="210"/>
      <c r="G197" s="202">
        <v>67.264415</v>
      </c>
      <c r="H197" s="211"/>
      <c r="I197" s="203"/>
      <c r="J197" s="203"/>
      <c r="K197" s="203"/>
      <c r="L197" s="203"/>
      <c r="M197" s="203"/>
      <c r="N197" s="203"/>
      <c r="O197" s="203"/>
      <c r="P197" s="203"/>
      <c r="Q197" s="203"/>
      <c r="R197" s="203"/>
      <c r="S197" s="203"/>
      <c r="T197" s="203"/>
      <c r="U197" s="203"/>
      <c r="V197" s="203"/>
      <c r="W197" s="203"/>
      <c r="X197" s="204"/>
      <c r="Y197" s="204"/>
      <c r="Z197" s="205">
        <f t="shared" si="73"/>
        <v>0</v>
      </c>
      <c r="AA197" s="205">
        <f t="shared" si="73"/>
        <v>0</v>
      </c>
      <c r="AB197" s="205">
        <v>66.998</v>
      </c>
      <c r="AC197" s="205">
        <f>AA197</f>
        <v>0</v>
      </c>
      <c r="AD197" s="212"/>
      <c r="AE197" s="212"/>
      <c r="AF197" s="212"/>
      <c r="AG197" s="212"/>
      <c r="AH197" s="212"/>
      <c r="AI197" s="212"/>
      <c r="AJ197" s="212"/>
      <c r="AK197" s="212"/>
      <c r="AL197" s="212"/>
      <c r="AM197" s="212"/>
      <c r="AN197" s="206">
        <f t="shared" si="74"/>
        <v>0</v>
      </c>
      <c r="AO197" s="206">
        <f t="shared" si="74"/>
        <v>0</v>
      </c>
      <c r="AP197" s="207">
        <f t="shared" si="71"/>
        <v>66.998</v>
      </c>
      <c r="AQ197" s="295">
        <f t="shared" si="72"/>
        <v>0</v>
      </c>
      <c r="AR197" s="211"/>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c r="CO197" s="213"/>
      <c r="CP197" s="213"/>
      <c r="CQ197" s="213"/>
      <c r="CR197" s="213"/>
      <c r="CS197" s="213"/>
      <c r="CT197" s="213"/>
      <c r="CU197" s="213"/>
      <c r="CV197" s="213"/>
      <c r="CW197" s="213"/>
      <c r="CX197" s="213"/>
      <c r="CY197" s="213"/>
      <c r="CZ197" s="214"/>
      <c r="DA197" s="214"/>
      <c r="DB197" s="214"/>
      <c r="DC197" s="214"/>
      <c r="DD197" s="214"/>
      <c r="DE197" s="214"/>
      <c r="DF197" s="214"/>
      <c r="DG197" s="214"/>
      <c r="DH197" s="214"/>
      <c r="DI197" s="214"/>
      <c r="DJ197" s="214"/>
      <c r="DK197" s="214"/>
      <c r="DL197" s="214"/>
      <c r="DM197" s="214"/>
    </row>
    <row r="198" spans="1:117" s="215" customFormat="1" ht="12.75" hidden="1">
      <c r="A198" s="228">
        <v>23</v>
      </c>
      <c r="B198" s="238" t="s">
        <v>417</v>
      </c>
      <c r="C198" s="227"/>
      <c r="D198" s="227"/>
      <c r="E198" s="227"/>
      <c r="F198" s="227"/>
      <c r="G198" s="257">
        <f>603.463725+0.32</f>
        <v>603.783725</v>
      </c>
      <c r="H198" s="228"/>
      <c r="I198" s="229"/>
      <c r="J198" s="229"/>
      <c r="K198" s="229"/>
      <c r="L198" s="229"/>
      <c r="M198" s="229"/>
      <c r="N198" s="229"/>
      <c r="O198" s="229"/>
      <c r="P198" s="229"/>
      <c r="Q198" s="229"/>
      <c r="R198" s="229"/>
      <c r="S198" s="229"/>
      <c r="T198" s="229"/>
      <c r="U198" s="229"/>
      <c r="V198" s="229"/>
      <c r="W198" s="229"/>
      <c r="X198" s="230"/>
      <c r="Y198" s="230"/>
      <c r="Z198" s="253">
        <f t="shared" si="73"/>
        <v>0</v>
      </c>
      <c r="AA198" s="253">
        <f t="shared" si="73"/>
        <v>0</v>
      </c>
      <c r="AB198" s="258">
        <f>Z198</f>
        <v>0</v>
      </c>
      <c r="AC198" s="258">
        <f>AA198</f>
        <v>0</v>
      </c>
      <c r="AD198" s="231"/>
      <c r="AE198" s="231"/>
      <c r="AF198" s="231"/>
      <c r="AG198" s="231"/>
      <c r="AH198" s="231"/>
      <c r="AI198" s="231"/>
      <c r="AJ198" s="231"/>
      <c r="AK198" s="231"/>
      <c r="AL198" s="231"/>
      <c r="AM198" s="231"/>
      <c r="AN198" s="232">
        <f t="shared" si="74"/>
        <v>0</v>
      </c>
      <c r="AO198" s="232">
        <f t="shared" si="74"/>
        <v>0</v>
      </c>
      <c r="AP198" s="232">
        <f t="shared" si="71"/>
        <v>0</v>
      </c>
      <c r="AQ198" s="296">
        <f t="shared" si="72"/>
        <v>0</v>
      </c>
      <c r="AR198" s="228"/>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c r="CO198" s="213"/>
      <c r="CP198" s="213"/>
      <c r="CQ198" s="213"/>
      <c r="CR198" s="213"/>
      <c r="CS198" s="213"/>
      <c r="CT198" s="213"/>
      <c r="CU198" s="213"/>
      <c r="CV198" s="213"/>
      <c r="CW198" s="213"/>
      <c r="CX198" s="213"/>
      <c r="CY198" s="213"/>
      <c r="CZ198" s="214"/>
      <c r="DA198" s="214"/>
      <c r="DB198" s="214"/>
      <c r="DC198" s="214"/>
      <c r="DD198" s="214"/>
      <c r="DE198" s="214"/>
      <c r="DF198" s="214"/>
      <c r="DG198" s="214"/>
      <c r="DH198" s="214"/>
      <c r="DI198" s="214"/>
      <c r="DJ198" s="214"/>
      <c r="DK198" s="214"/>
      <c r="DL198" s="214"/>
      <c r="DM198" s="214"/>
    </row>
    <row r="199" spans="1:117" s="215" customFormat="1" ht="12.75">
      <c r="A199" s="259"/>
      <c r="B199" s="260"/>
      <c r="C199" s="261"/>
      <c r="D199" s="261"/>
      <c r="E199" s="261"/>
      <c r="F199" s="261"/>
      <c r="G199" s="193"/>
      <c r="H199" s="259"/>
      <c r="I199" s="193"/>
      <c r="J199" s="193"/>
      <c r="K199" s="193"/>
      <c r="L199" s="193"/>
      <c r="M199" s="193"/>
      <c r="N199" s="193"/>
      <c r="O199" s="193"/>
      <c r="P199" s="193"/>
      <c r="Q199" s="193"/>
      <c r="R199" s="193"/>
      <c r="S199" s="193"/>
      <c r="T199" s="193"/>
      <c r="U199" s="193"/>
      <c r="V199" s="193"/>
      <c r="W199" s="193"/>
      <c r="X199" s="262"/>
      <c r="Y199" s="262"/>
      <c r="Z199" s="193"/>
      <c r="AA199" s="193"/>
      <c r="AB199" s="193"/>
      <c r="AC199" s="193"/>
      <c r="AD199" s="263"/>
      <c r="AE199" s="263"/>
      <c r="AF199" s="263"/>
      <c r="AG199" s="263"/>
      <c r="AH199" s="263"/>
      <c r="AI199" s="263"/>
      <c r="AJ199" s="263"/>
      <c r="AK199" s="263"/>
      <c r="AL199" s="263"/>
      <c r="AM199" s="263"/>
      <c r="AN199" s="263"/>
      <c r="AO199" s="263"/>
      <c r="AP199" s="263"/>
      <c r="AQ199" s="264"/>
      <c r="AR199" s="264"/>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c r="CO199" s="213"/>
      <c r="CP199" s="213"/>
      <c r="CQ199" s="213"/>
      <c r="CR199" s="213"/>
      <c r="CS199" s="213"/>
      <c r="CT199" s="213"/>
      <c r="CU199" s="213"/>
      <c r="CV199" s="213"/>
      <c r="CW199" s="213"/>
      <c r="CX199" s="213"/>
      <c r="CY199" s="213"/>
      <c r="CZ199" s="214"/>
      <c r="DA199" s="214"/>
      <c r="DB199" s="214"/>
      <c r="DC199" s="214"/>
      <c r="DD199" s="214"/>
      <c r="DE199" s="214"/>
      <c r="DF199" s="214"/>
      <c r="DG199" s="214"/>
      <c r="DH199" s="214"/>
      <c r="DI199" s="214"/>
      <c r="DJ199" s="214"/>
      <c r="DK199" s="214"/>
      <c r="DL199" s="214"/>
      <c r="DM199" s="214"/>
    </row>
    <row r="200" spans="1:117" s="215" customFormat="1" ht="12.75">
      <c r="A200" s="259"/>
      <c r="B200" s="260"/>
      <c r="C200" s="261"/>
      <c r="D200" s="261"/>
      <c r="E200" s="261"/>
      <c r="F200" s="261"/>
      <c r="G200" s="265"/>
      <c r="H200" s="259"/>
      <c r="I200" s="193"/>
      <c r="J200" s="193"/>
      <c r="K200" s="193"/>
      <c r="L200" s="193"/>
      <c r="M200" s="193"/>
      <c r="N200" s="193"/>
      <c r="O200" s="193"/>
      <c r="P200" s="193"/>
      <c r="Q200" s="193"/>
      <c r="R200" s="193"/>
      <c r="S200" s="193"/>
      <c r="T200" s="193"/>
      <c r="U200" s="193"/>
      <c r="V200" s="193"/>
      <c r="W200" s="193"/>
      <c r="X200" s="262"/>
      <c r="Y200" s="262"/>
      <c r="Z200" s="193"/>
      <c r="AA200" s="193"/>
      <c r="AB200" s="193"/>
      <c r="AC200" s="193"/>
      <c r="AD200" s="263"/>
      <c r="AE200" s="263"/>
      <c r="AF200" s="263"/>
      <c r="AG200" s="263"/>
      <c r="AH200" s="263"/>
      <c r="AI200" s="263"/>
      <c r="AJ200" s="263"/>
      <c r="AK200" s="263"/>
      <c r="AL200" s="263"/>
      <c r="AM200" s="263"/>
      <c r="AN200" s="263"/>
      <c r="AO200" s="263"/>
      <c r="AP200" s="263"/>
      <c r="AQ200" s="264"/>
      <c r="AR200" s="264"/>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c r="CF200" s="213"/>
      <c r="CG200" s="213"/>
      <c r="CH200" s="213"/>
      <c r="CI200" s="213"/>
      <c r="CJ200" s="213"/>
      <c r="CK200" s="213"/>
      <c r="CL200" s="213"/>
      <c r="CM200" s="213"/>
      <c r="CN200" s="213"/>
      <c r="CO200" s="213"/>
      <c r="CP200" s="213"/>
      <c r="CQ200" s="213"/>
      <c r="CR200" s="213"/>
      <c r="CS200" s="213"/>
      <c r="CT200" s="213"/>
      <c r="CU200" s="213"/>
      <c r="CV200" s="213"/>
      <c r="CW200" s="213"/>
      <c r="CX200" s="213"/>
      <c r="CY200" s="213"/>
      <c r="CZ200" s="214"/>
      <c r="DA200" s="214"/>
      <c r="DB200" s="214"/>
      <c r="DC200" s="214"/>
      <c r="DD200" s="214"/>
      <c r="DE200" s="214"/>
      <c r="DF200" s="214"/>
      <c r="DG200" s="214"/>
      <c r="DH200" s="214"/>
      <c r="DI200" s="214"/>
      <c r="DJ200" s="214"/>
      <c r="DK200" s="214"/>
      <c r="DL200" s="214"/>
      <c r="DM200" s="214"/>
    </row>
    <row r="201" spans="1:117" s="215" customFormat="1" ht="12.75">
      <c r="A201" s="259"/>
      <c r="B201" s="260"/>
      <c r="C201" s="261"/>
      <c r="D201" s="261"/>
      <c r="E201" s="261"/>
      <c r="F201" s="261"/>
      <c r="G201" s="193"/>
      <c r="H201" s="259"/>
      <c r="I201" s="193"/>
      <c r="J201" s="193"/>
      <c r="K201" s="193"/>
      <c r="L201" s="193"/>
      <c r="M201" s="193"/>
      <c r="N201" s="193"/>
      <c r="O201" s="193"/>
      <c r="P201" s="193"/>
      <c r="Q201" s="193"/>
      <c r="R201" s="193"/>
      <c r="S201" s="193"/>
      <c r="T201" s="193"/>
      <c r="U201" s="193"/>
      <c r="V201" s="193"/>
      <c r="W201" s="193"/>
      <c r="X201" s="262"/>
      <c r="Y201" s="262"/>
      <c r="Z201" s="193"/>
      <c r="AA201" s="193"/>
      <c r="AB201" s="193"/>
      <c r="AC201" s="193"/>
      <c r="AD201" s="263"/>
      <c r="AE201" s="263"/>
      <c r="AF201" s="263"/>
      <c r="AG201" s="263"/>
      <c r="AH201" s="263"/>
      <c r="AI201" s="263"/>
      <c r="AJ201" s="263"/>
      <c r="AK201" s="263"/>
      <c r="AL201" s="263"/>
      <c r="AM201" s="263"/>
      <c r="AN201" s="263"/>
      <c r="AO201" s="263"/>
      <c r="AP201" s="263"/>
      <c r="AQ201" s="264"/>
      <c r="AR201" s="264"/>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c r="CF201" s="213"/>
      <c r="CG201" s="213"/>
      <c r="CH201" s="213"/>
      <c r="CI201" s="213"/>
      <c r="CJ201" s="213"/>
      <c r="CK201" s="213"/>
      <c r="CL201" s="213"/>
      <c r="CM201" s="213"/>
      <c r="CN201" s="213"/>
      <c r="CO201" s="213"/>
      <c r="CP201" s="213"/>
      <c r="CQ201" s="213"/>
      <c r="CR201" s="213"/>
      <c r="CS201" s="213"/>
      <c r="CT201" s="213"/>
      <c r="CU201" s="213"/>
      <c r="CV201" s="213"/>
      <c r="CW201" s="213"/>
      <c r="CX201" s="213"/>
      <c r="CY201" s="213"/>
      <c r="CZ201" s="214"/>
      <c r="DA201" s="214"/>
      <c r="DB201" s="214"/>
      <c r="DC201" s="214"/>
      <c r="DD201" s="214"/>
      <c r="DE201" s="214"/>
      <c r="DF201" s="214"/>
      <c r="DG201" s="214"/>
      <c r="DH201" s="214"/>
      <c r="DI201" s="214"/>
      <c r="DJ201" s="214"/>
      <c r="DK201" s="214"/>
      <c r="DL201" s="214"/>
      <c r="DM201" s="214"/>
    </row>
    <row r="202" spans="1:117" s="215" customFormat="1" ht="12.75">
      <c r="A202" s="259"/>
      <c r="B202" s="260"/>
      <c r="C202" s="261"/>
      <c r="D202" s="261"/>
      <c r="E202" s="261"/>
      <c r="F202" s="261"/>
      <c r="G202" s="193"/>
      <c r="H202" s="259"/>
      <c r="I202" s="193"/>
      <c r="J202" s="193"/>
      <c r="K202" s="193"/>
      <c r="L202" s="193"/>
      <c r="M202" s="193"/>
      <c r="N202" s="193"/>
      <c r="O202" s="193"/>
      <c r="P202" s="193"/>
      <c r="Q202" s="193"/>
      <c r="R202" s="193"/>
      <c r="S202" s="193"/>
      <c r="T202" s="193"/>
      <c r="U202" s="193"/>
      <c r="V202" s="193"/>
      <c r="W202" s="193"/>
      <c r="X202" s="262"/>
      <c r="Y202" s="262"/>
      <c r="Z202" s="193"/>
      <c r="AA202" s="193"/>
      <c r="AB202" s="193"/>
      <c r="AC202" s="193"/>
      <c r="AD202" s="263"/>
      <c r="AE202" s="263"/>
      <c r="AF202" s="263"/>
      <c r="AG202" s="263"/>
      <c r="AH202" s="263"/>
      <c r="AI202" s="263"/>
      <c r="AJ202" s="263"/>
      <c r="AK202" s="263"/>
      <c r="AL202" s="263"/>
      <c r="AM202" s="263"/>
      <c r="AN202" s="263"/>
      <c r="AO202" s="263"/>
      <c r="AP202" s="263"/>
      <c r="AQ202" s="264"/>
      <c r="AR202" s="264"/>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c r="CF202" s="213"/>
      <c r="CG202" s="213"/>
      <c r="CH202" s="213"/>
      <c r="CI202" s="213"/>
      <c r="CJ202" s="213"/>
      <c r="CK202" s="213"/>
      <c r="CL202" s="213"/>
      <c r="CM202" s="213"/>
      <c r="CN202" s="213"/>
      <c r="CO202" s="213"/>
      <c r="CP202" s="213"/>
      <c r="CQ202" s="213"/>
      <c r="CR202" s="213"/>
      <c r="CS202" s="213"/>
      <c r="CT202" s="213"/>
      <c r="CU202" s="213"/>
      <c r="CV202" s="213"/>
      <c r="CW202" s="213"/>
      <c r="CX202" s="213"/>
      <c r="CY202" s="213"/>
      <c r="CZ202" s="214"/>
      <c r="DA202" s="214"/>
      <c r="DB202" s="214"/>
      <c r="DC202" s="214"/>
      <c r="DD202" s="214"/>
      <c r="DE202" s="214"/>
      <c r="DF202" s="214"/>
      <c r="DG202" s="214"/>
      <c r="DH202" s="214"/>
      <c r="DI202" s="214"/>
      <c r="DJ202" s="214"/>
      <c r="DK202" s="214"/>
      <c r="DL202" s="214"/>
      <c r="DM202" s="214"/>
    </row>
    <row r="203" spans="1:117" s="215" customFormat="1" ht="12.75">
      <c r="A203" s="259"/>
      <c r="B203" s="260"/>
      <c r="C203" s="261"/>
      <c r="D203" s="261"/>
      <c r="E203" s="261"/>
      <c r="F203" s="261"/>
      <c r="G203" s="193"/>
      <c r="H203" s="259"/>
      <c r="I203" s="193"/>
      <c r="J203" s="193"/>
      <c r="K203" s="193"/>
      <c r="L203" s="193"/>
      <c r="M203" s="193"/>
      <c r="N203" s="193"/>
      <c r="O203" s="193"/>
      <c r="P203" s="193"/>
      <c r="Q203" s="193"/>
      <c r="R203" s="193"/>
      <c r="S203" s="193"/>
      <c r="T203" s="193"/>
      <c r="U203" s="193"/>
      <c r="V203" s="193"/>
      <c r="W203" s="193"/>
      <c r="X203" s="262"/>
      <c r="Y203" s="262"/>
      <c r="Z203" s="193"/>
      <c r="AA203" s="193"/>
      <c r="AB203" s="193"/>
      <c r="AC203" s="193"/>
      <c r="AD203" s="263"/>
      <c r="AE203" s="263"/>
      <c r="AF203" s="263"/>
      <c r="AG203" s="263"/>
      <c r="AH203" s="263"/>
      <c r="AI203" s="263"/>
      <c r="AJ203" s="263"/>
      <c r="AK203" s="263"/>
      <c r="AL203" s="263"/>
      <c r="AM203" s="263"/>
      <c r="AN203" s="263"/>
      <c r="AO203" s="263"/>
      <c r="AP203" s="263"/>
      <c r="AQ203" s="264"/>
      <c r="AR203" s="264"/>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c r="CH203" s="213"/>
      <c r="CI203" s="213"/>
      <c r="CJ203" s="213"/>
      <c r="CK203" s="213"/>
      <c r="CL203" s="213"/>
      <c r="CM203" s="213"/>
      <c r="CN203" s="213"/>
      <c r="CO203" s="213"/>
      <c r="CP203" s="213"/>
      <c r="CQ203" s="213"/>
      <c r="CR203" s="213"/>
      <c r="CS203" s="213"/>
      <c r="CT203" s="213"/>
      <c r="CU203" s="213"/>
      <c r="CV203" s="213"/>
      <c r="CW203" s="213"/>
      <c r="CX203" s="213"/>
      <c r="CY203" s="213"/>
      <c r="CZ203" s="214"/>
      <c r="DA203" s="214"/>
      <c r="DB203" s="214"/>
      <c r="DC203" s="214"/>
      <c r="DD203" s="214"/>
      <c r="DE203" s="214"/>
      <c r="DF203" s="214"/>
      <c r="DG203" s="214"/>
      <c r="DH203" s="214"/>
      <c r="DI203" s="214"/>
      <c r="DJ203" s="214"/>
      <c r="DK203" s="214"/>
      <c r="DL203" s="214"/>
      <c r="DM203" s="214"/>
    </row>
    <row r="204" spans="1:117" s="215" customFormat="1" ht="12.75">
      <c r="A204" s="259"/>
      <c r="B204" s="260"/>
      <c r="C204" s="261"/>
      <c r="D204" s="261"/>
      <c r="E204" s="261"/>
      <c r="F204" s="261"/>
      <c r="G204" s="193"/>
      <c r="H204" s="259"/>
      <c r="I204" s="193"/>
      <c r="J204" s="193"/>
      <c r="K204" s="193"/>
      <c r="L204" s="193"/>
      <c r="M204" s="193"/>
      <c r="N204" s="193"/>
      <c r="O204" s="193"/>
      <c r="P204" s="193"/>
      <c r="Q204" s="193"/>
      <c r="R204" s="193"/>
      <c r="S204" s="193"/>
      <c r="T204" s="193"/>
      <c r="U204" s="193"/>
      <c r="V204" s="193"/>
      <c r="W204" s="193"/>
      <c r="X204" s="262"/>
      <c r="Y204" s="262"/>
      <c r="Z204" s="193"/>
      <c r="AA204" s="193"/>
      <c r="AB204" s="193"/>
      <c r="AC204" s="193"/>
      <c r="AD204" s="263"/>
      <c r="AE204" s="263"/>
      <c r="AF204" s="263"/>
      <c r="AG204" s="263"/>
      <c r="AH204" s="263"/>
      <c r="AI204" s="263"/>
      <c r="AJ204" s="263"/>
      <c r="AK204" s="263"/>
      <c r="AL204" s="263"/>
      <c r="AM204" s="263"/>
      <c r="AN204" s="263"/>
      <c r="AO204" s="263"/>
      <c r="AP204" s="263"/>
      <c r="AQ204" s="264"/>
      <c r="AR204" s="264"/>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c r="CF204" s="213"/>
      <c r="CG204" s="213"/>
      <c r="CH204" s="213"/>
      <c r="CI204" s="213"/>
      <c r="CJ204" s="213"/>
      <c r="CK204" s="213"/>
      <c r="CL204" s="213"/>
      <c r="CM204" s="213"/>
      <c r="CN204" s="213"/>
      <c r="CO204" s="213"/>
      <c r="CP204" s="213"/>
      <c r="CQ204" s="213"/>
      <c r="CR204" s="213"/>
      <c r="CS204" s="213"/>
      <c r="CT204" s="213"/>
      <c r="CU204" s="213"/>
      <c r="CV204" s="213"/>
      <c r="CW204" s="213"/>
      <c r="CX204" s="213"/>
      <c r="CY204" s="213"/>
      <c r="CZ204" s="214"/>
      <c r="DA204" s="214"/>
      <c r="DB204" s="214"/>
      <c r="DC204" s="214"/>
      <c r="DD204" s="214"/>
      <c r="DE204" s="214"/>
      <c r="DF204" s="214"/>
      <c r="DG204" s="214"/>
      <c r="DH204" s="214"/>
      <c r="DI204" s="214"/>
      <c r="DJ204" s="214"/>
      <c r="DK204" s="214"/>
      <c r="DL204" s="214"/>
      <c r="DM204" s="214"/>
    </row>
    <row r="205" spans="1:117" s="215" customFormat="1" ht="12.75">
      <c r="A205" s="259"/>
      <c r="B205" s="260"/>
      <c r="C205" s="261"/>
      <c r="D205" s="261"/>
      <c r="E205" s="261"/>
      <c r="F205" s="261"/>
      <c r="G205" s="193"/>
      <c r="H205" s="259"/>
      <c r="I205" s="193"/>
      <c r="J205" s="193"/>
      <c r="K205" s="193"/>
      <c r="L205" s="193"/>
      <c r="M205" s="193"/>
      <c r="N205" s="193"/>
      <c r="O205" s="193"/>
      <c r="P205" s="193"/>
      <c r="Q205" s="193"/>
      <c r="R205" s="193"/>
      <c r="S205" s="193"/>
      <c r="T205" s="193"/>
      <c r="U205" s="193"/>
      <c r="V205" s="193"/>
      <c r="W205" s="193"/>
      <c r="X205" s="262"/>
      <c r="Y205" s="262"/>
      <c r="Z205" s="193"/>
      <c r="AA205" s="193"/>
      <c r="AB205" s="193"/>
      <c r="AC205" s="193"/>
      <c r="AD205" s="263"/>
      <c r="AE205" s="263"/>
      <c r="AF205" s="263"/>
      <c r="AG205" s="263"/>
      <c r="AH205" s="263"/>
      <c r="AI205" s="263"/>
      <c r="AJ205" s="263"/>
      <c r="AK205" s="263"/>
      <c r="AL205" s="263"/>
      <c r="AM205" s="263"/>
      <c r="AN205" s="263"/>
      <c r="AO205" s="263"/>
      <c r="AP205" s="263"/>
      <c r="AQ205" s="264"/>
      <c r="AR205" s="264"/>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c r="CO205" s="213"/>
      <c r="CP205" s="213"/>
      <c r="CQ205" s="213"/>
      <c r="CR205" s="213"/>
      <c r="CS205" s="213"/>
      <c r="CT205" s="213"/>
      <c r="CU205" s="213"/>
      <c r="CV205" s="213"/>
      <c r="CW205" s="213"/>
      <c r="CX205" s="213"/>
      <c r="CY205" s="213"/>
      <c r="CZ205" s="214"/>
      <c r="DA205" s="214"/>
      <c r="DB205" s="214"/>
      <c r="DC205" s="214"/>
      <c r="DD205" s="214"/>
      <c r="DE205" s="214"/>
      <c r="DF205" s="214"/>
      <c r="DG205" s="214"/>
      <c r="DH205" s="214"/>
      <c r="DI205" s="214"/>
      <c r="DJ205" s="214"/>
      <c r="DK205" s="214"/>
      <c r="DL205" s="214"/>
      <c r="DM205" s="214"/>
    </row>
    <row r="206" spans="1:117" s="215" customFormat="1" ht="12.75">
      <c r="A206" s="259"/>
      <c r="B206" s="260"/>
      <c r="C206" s="261"/>
      <c r="D206" s="261"/>
      <c r="E206" s="261"/>
      <c r="F206" s="261"/>
      <c r="G206" s="193"/>
      <c r="H206" s="259"/>
      <c r="I206" s="193"/>
      <c r="J206" s="193"/>
      <c r="K206" s="193"/>
      <c r="L206" s="193"/>
      <c r="M206" s="193"/>
      <c r="N206" s="193"/>
      <c r="O206" s="193"/>
      <c r="P206" s="193"/>
      <c r="Q206" s="193"/>
      <c r="R206" s="193"/>
      <c r="S206" s="193"/>
      <c r="T206" s="193"/>
      <c r="U206" s="193"/>
      <c r="V206" s="193"/>
      <c r="W206" s="193"/>
      <c r="X206" s="262"/>
      <c r="Y206" s="262"/>
      <c r="Z206" s="193"/>
      <c r="AA206" s="193"/>
      <c r="AB206" s="193"/>
      <c r="AC206" s="193"/>
      <c r="AD206" s="263"/>
      <c r="AE206" s="263"/>
      <c r="AF206" s="263"/>
      <c r="AG206" s="263"/>
      <c r="AH206" s="263"/>
      <c r="AI206" s="263"/>
      <c r="AJ206" s="263"/>
      <c r="AK206" s="263"/>
      <c r="AL206" s="263"/>
      <c r="AM206" s="263"/>
      <c r="AN206" s="263"/>
      <c r="AO206" s="263"/>
      <c r="AP206" s="263"/>
      <c r="AQ206" s="264"/>
      <c r="AR206" s="264"/>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c r="CF206" s="213"/>
      <c r="CG206" s="213"/>
      <c r="CH206" s="213"/>
      <c r="CI206" s="213"/>
      <c r="CJ206" s="213"/>
      <c r="CK206" s="213"/>
      <c r="CL206" s="213"/>
      <c r="CM206" s="213"/>
      <c r="CN206" s="213"/>
      <c r="CO206" s="213"/>
      <c r="CP206" s="213"/>
      <c r="CQ206" s="213"/>
      <c r="CR206" s="213"/>
      <c r="CS206" s="213"/>
      <c r="CT206" s="213"/>
      <c r="CU206" s="213"/>
      <c r="CV206" s="213"/>
      <c r="CW206" s="213"/>
      <c r="CX206" s="213"/>
      <c r="CY206" s="213"/>
      <c r="CZ206" s="214"/>
      <c r="DA206" s="214"/>
      <c r="DB206" s="214"/>
      <c r="DC206" s="214"/>
      <c r="DD206" s="214"/>
      <c r="DE206" s="214"/>
      <c r="DF206" s="214"/>
      <c r="DG206" s="214"/>
      <c r="DH206" s="214"/>
      <c r="DI206" s="214"/>
      <c r="DJ206" s="214"/>
      <c r="DK206" s="214"/>
      <c r="DL206" s="214"/>
      <c r="DM206" s="214"/>
    </row>
    <row r="207" spans="1:117" s="215" customFormat="1" ht="12.75">
      <c r="A207" s="259"/>
      <c r="B207" s="260"/>
      <c r="C207" s="261"/>
      <c r="D207" s="261"/>
      <c r="E207" s="261"/>
      <c r="F207" s="261"/>
      <c r="G207" s="193"/>
      <c r="H207" s="259"/>
      <c r="I207" s="193"/>
      <c r="J207" s="193"/>
      <c r="K207" s="193"/>
      <c r="L207" s="193"/>
      <c r="M207" s="193"/>
      <c r="N207" s="193"/>
      <c r="O207" s="193"/>
      <c r="P207" s="193"/>
      <c r="Q207" s="193"/>
      <c r="R207" s="193"/>
      <c r="S207" s="193"/>
      <c r="T207" s="193"/>
      <c r="U207" s="193"/>
      <c r="V207" s="193"/>
      <c r="W207" s="193"/>
      <c r="X207" s="262"/>
      <c r="Y207" s="262"/>
      <c r="Z207" s="193"/>
      <c r="AA207" s="193"/>
      <c r="AB207" s="193"/>
      <c r="AC207" s="193"/>
      <c r="AD207" s="263"/>
      <c r="AE207" s="263"/>
      <c r="AF207" s="263"/>
      <c r="AG207" s="263"/>
      <c r="AH207" s="263"/>
      <c r="AI207" s="263"/>
      <c r="AJ207" s="263"/>
      <c r="AK207" s="263"/>
      <c r="AL207" s="263"/>
      <c r="AM207" s="263"/>
      <c r="AN207" s="263"/>
      <c r="AO207" s="263"/>
      <c r="AP207" s="263"/>
      <c r="AQ207" s="264"/>
      <c r="AR207" s="264"/>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c r="CF207" s="213"/>
      <c r="CG207" s="213"/>
      <c r="CH207" s="213"/>
      <c r="CI207" s="213"/>
      <c r="CJ207" s="213"/>
      <c r="CK207" s="213"/>
      <c r="CL207" s="213"/>
      <c r="CM207" s="213"/>
      <c r="CN207" s="213"/>
      <c r="CO207" s="213"/>
      <c r="CP207" s="213"/>
      <c r="CQ207" s="213"/>
      <c r="CR207" s="213"/>
      <c r="CS207" s="213"/>
      <c r="CT207" s="213"/>
      <c r="CU207" s="213"/>
      <c r="CV207" s="213"/>
      <c r="CW207" s="213"/>
      <c r="CX207" s="213"/>
      <c r="CY207" s="213"/>
      <c r="CZ207" s="214"/>
      <c r="DA207" s="214"/>
      <c r="DB207" s="214"/>
      <c r="DC207" s="214"/>
      <c r="DD207" s="214"/>
      <c r="DE207" s="214"/>
      <c r="DF207" s="214"/>
      <c r="DG207" s="214"/>
      <c r="DH207" s="214"/>
      <c r="DI207" s="214"/>
      <c r="DJ207" s="214"/>
      <c r="DK207" s="214"/>
      <c r="DL207" s="214"/>
      <c r="DM207" s="214"/>
    </row>
    <row r="208" spans="1:117" s="215" customFormat="1" ht="12.75">
      <c r="A208" s="259"/>
      <c r="B208" s="260"/>
      <c r="C208" s="261"/>
      <c r="D208" s="261"/>
      <c r="E208" s="261"/>
      <c r="F208" s="261"/>
      <c r="G208" s="193"/>
      <c r="H208" s="259"/>
      <c r="I208" s="193"/>
      <c r="J208" s="193"/>
      <c r="K208" s="193"/>
      <c r="L208" s="193"/>
      <c r="M208" s="193"/>
      <c r="N208" s="193"/>
      <c r="O208" s="193"/>
      <c r="P208" s="193"/>
      <c r="Q208" s="193"/>
      <c r="R208" s="193"/>
      <c r="S208" s="193"/>
      <c r="T208" s="193"/>
      <c r="U208" s="193"/>
      <c r="V208" s="193"/>
      <c r="W208" s="193"/>
      <c r="X208" s="262"/>
      <c r="Y208" s="262"/>
      <c r="Z208" s="193"/>
      <c r="AA208" s="193"/>
      <c r="AB208" s="193"/>
      <c r="AC208" s="193"/>
      <c r="AD208" s="263"/>
      <c r="AE208" s="263"/>
      <c r="AF208" s="263"/>
      <c r="AG208" s="263"/>
      <c r="AH208" s="263"/>
      <c r="AI208" s="263"/>
      <c r="AJ208" s="263"/>
      <c r="AK208" s="263"/>
      <c r="AL208" s="263"/>
      <c r="AM208" s="263"/>
      <c r="AN208" s="263"/>
      <c r="AO208" s="263"/>
      <c r="AP208" s="263"/>
      <c r="AQ208" s="264"/>
      <c r="AR208" s="264"/>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c r="CF208" s="213"/>
      <c r="CG208" s="213"/>
      <c r="CH208" s="213"/>
      <c r="CI208" s="213"/>
      <c r="CJ208" s="213"/>
      <c r="CK208" s="213"/>
      <c r="CL208" s="213"/>
      <c r="CM208" s="213"/>
      <c r="CN208" s="213"/>
      <c r="CO208" s="213"/>
      <c r="CP208" s="213"/>
      <c r="CQ208" s="213"/>
      <c r="CR208" s="213"/>
      <c r="CS208" s="213"/>
      <c r="CT208" s="213"/>
      <c r="CU208" s="213"/>
      <c r="CV208" s="213"/>
      <c r="CW208" s="213"/>
      <c r="CX208" s="213"/>
      <c r="CY208" s="213"/>
      <c r="CZ208" s="214"/>
      <c r="DA208" s="214"/>
      <c r="DB208" s="214"/>
      <c r="DC208" s="214"/>
      <c r="DD208" s="214"/>
      <c r="DE208" s="214"/>
      <c r="DF208" s="214"/>
      <c r="DG208" s="214"/>
      <c r="DH208" s="214"/>
      <c r="DI208" s="214"/>
      <c r="DJ208" s="214"/>
      <c r="DK208" s="214"/>
      <c r="DL208" s="214"/>
      <c r="DM208" s="214"/>
    </row>
    <row r="209" spans="1:117" s="215" customFormat="1" ht="12.75">
      <c r="A209" s="259"/>
      <c r="B209" s="260"/>
      <c r="C209" s="261"/>
      <c r="D209" s="261"/>
      <c r="E209" s="261"/>
      <c r="F209" s="261"/>
      <c r="G209" s="193"/>
      <c r="H209" s="259"/>
      <c r="I209" s="193"/>
      <c r="J209" s="193"/>
      <c r="K209" s="193"/>
      <c r="L209" s="193"/>
      <c r="M209" s="193"/>
      <c r="N209" s="193"/>
      <c r="O209" s="193"/>
      <c r="P209" s="193"/>
      <c r="Q209" s="193"/>
      <c r="R209" s="193"/>
      <c r="S209" s="193"/>
      <c r="T209" s="193"/>
      <c r="U209" s="193"/>
      <c r="V209" s="193"/>
      <c r="W209" s="193"/>
      <c r="X209" s="262"/>
      <c r="Y209" s="262"/>
      <c r="Z209" s="193"/>
      <c r="AA209" s="193"/>
      <c r="AB209" s="193"/>
      <c r="AC209" s="193"/>
      <c r="AD209" s="263"/>
      <c r="AE209" s="263"/>
      <c r="AF209" s="263"/>
      <c r="AG209" s="263"/>
      <c r="AH209" s="263"/>
      <c r="AI209" s="263"/>
      <c r="AJ209" s="263"/>
      <c r="AK209" s="263"/>
      <c r="AL209" s="263"/>
      <c r="AM209" s="263"/>
      <c r="AN209" s="263"/>
      <c r="AO209" s="263"/>
      <c r="AP209" s="263"/>
      <c r="AQ209" s="264"/>
      <c r="AR209" s="264"/>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c r="CF209" s="213"/>
      <c r="CG209" s="213"/>
      <c r="CH209" s="213"/>
      <c r="CI209" s="213"/>
      <c r="CJ209" s="213"/>
      <c r="CK209" s="213"/>
      <c r="CL209" s="213"/>
      <c r="CM209" s="213"/>
      <c r="CN209" s="213"/>
      <c r="CO209" s="213"/>
      <c r="CP209" s="213"/>
      <c r="CQ209" s="213"/>
      <c r="CR209" s="213"/>
      <c r="CS209" s="213"/>
      <c r="CT209" s="213"/>
      <c r="CU209" s="213"/>
      <c r="CV209" s="213"/>
      <c r="CW209" s="213"/>
      <c r="CX209" s="213"/>
      <c r="CY209" s="213"/>
      <c r="CZ209" s="214"/>
      <c r="DA209" s="214"/>
      <c r="DB209" s="214"/>
      <c r="DC209" s="214"/>
      <c r="DD209" s="214"/>
      <c r="DE209" s="214"/>
      <c r="DF209" s="214"/>
      <c r="DG209" s="214"/>
      <c r="DH209" s="214"/>
      <c r="DI209" s="214"/>
      <c r="DJ209" s="214"/>
      <c r="DK209" s="214"/>
      <c r="DL209" s="214"/>
      <c r="DM209" s="214"/>
    </row>
    <row r="210" spans="1:117" s="215" customFormat="1" ht="12.75">
      <c r="A210" s="259"/>
      <c r="B210" s="260"/>
      <c r="C210" s="261"/>
      <c r="D210" s="261"/>
      <c r="E210" s="261"/>
      <c r="F210" s="261"/>
      <c r="G210" s="193"/>
      <c r="H210" s="259"/>
      <c r="I210" s="193"/>
      <c r="J210" s="193"/>
      <c r="K210" s="193"/>
      <c r="L210" s="193"/>
      <c r="M210" s="193"/>
      <c r="N210" s="193"/>
      <c r="O210" s="193"/>
      <c r="P210" s="193"/>
      <c r="Q210" s="193"/>
      <c r="R210" s="193"/>
      <c r="S210" s="193"/>
      <c r="T210" s="193"/>
      <c r="U210" s="193"/>
      <c r="V210" s="193"/>
      <c r="W210" s="193"/>
      <c r="X210" s="262"/>
      <c r="Y210" s="262"/>
      <c r="Z210" s="193"/>
      <c r="AA210" s="193"/>
      <c r="AB210" s="193"/>
      <c r="AC210" s="193"/>
      <c r="AD210" s="263"/>
      <c r="AE210" s="263"/>
      <c r="AF210" s="263"/>
      <c r="AG210" s="263"/>
      <c r="AH210" s="263"/>
      <c r="AI210" s="263"/>
      <c r="AJ210" s="263"/>
      <c r="AK210" s="263"/>
      <c r="AL210" s="263"/>
      <c r="AM210" s="263"/>
      <c r="AN210" s="263"/>
      <c r="AO210" s="263"/>
      <c r="AP210" s="263"/>
      <c r="AQ210" s="264"/>
      <c r="AR210" s="264"/>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c r="CF210" s="213"/>
      <c r="CG210" s="213"/>
      <c r="CH210" s="213"/>
      <c r="CI210" s="213"/>
      <c r="CJ210" s="213"/>
      <c r="CK210" s="213"/>
      <c r="CL210" s="213"/>
      <c r="CM210" s="213"/>
      <c r="CN210" s="213"/>
      <c r="CO210" s="213"/>
      <c r="CP210" s="213"/>
      <c r="CQ210" s="213"/>
      <c r="CR210" s="213"/>
      <c r="CS210" s="213"/>
      <c r="CT210" s="213"/>
      <c r="CU210" s="213"/>
      <c r="CV210" s="213"/>
      <c r="CW210" s="213"/>
      <c r="CX210" s="213"/>
      <c r="CY210" s="213"/>
      <c r="CZ210" s="214"/>
      <c r="DA210" s="214"/>
      <c r="DB210" s="214"/>
      <c r="DC210" s="214"/>
      <c r="DD210" s="214"/>
      <c r="DE210" s="214"/>
      <c r="DF210" s="214"/>
      <c r="DG210" s="214"/>
      <c r="DH210" s="214"/>
      <c r="DI210" s="214"/>
      <c r="DJ210" s="214"/>
      <c r="DK210" s="214"/>
      <c r="DL210" s="214"/>
      <c r="DM210" s="214"/>
    </row>
    <row r="211" spans="1:117" s="215" customFormat="1" ht="12.75">
      <c r="A211" s="259"/>
      <c r="B211" s="260"/>
      <c r="C211" s="261"/>
      <c r="D211" s="261"/>
      <c r="E211" s="261"/>
      <c r="F211" s="261"/>
      <c r="G211" s="193"/>
      <c r="H211" s="259"/>
      <c r="I211" s="193"/>
      <c r="J211" s="193"/>
      <c r="K211" s="193"/>
      <c r="L211" s="193"/>
      <c r="M211" s="193"/>
      <c r="N211" s="193"/>
      <c r="O211" s="193"/>
      <c r="P211" s="193"/>
      <c r="Q211" s="193"/>
      <c r="R211" s="193"/>
      <c r="S211" s="193"/>
      <c r="T211" s="193"/>
      <c r="U211" s="193"/>
      <c r="V211" s="193"/>
      <c r="W211" s="193"/>
      <c r="X211" s="262"/>
      <c r="Y211" s="262"/>
      <c r="Z211" s="193"/>
      <c r="AA211" s="193"/>
      <c r="AB211" s="193"/>
      <c r="AC211" s="193"/>
      <c r="AD211" s="263"/>
      <c r="AE211" s="263"/>
      <c r="AF211" s="263"/>
      <c r="AG211" s="263"/>
      <c r="AH211" s="263"/>
      <c r="AI211" s="263"/>
      <c r="AJ211" s="263"/>
      <c r="AK211" s="263"/>
      <c r="AL211" s="263"/>
      <c r="AM211" s="263"/>
      <c r="AN211" s="263"/>
      <c r="AO211" s="263"/>
      <c r="AP211" s="263"/>
      <c r="AQ211" s="264"/>
      <c r="AR211" s="264"/>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c r="CF211" s="213"/>
      <c r="CG211" s="213"/>
      <c r="CH211" s="213"/>
      <c r="CI211" s="213"/>
      <c r="CJ211" s="213"/>
      <c r="CK211" s="213"/>
      <c r="CL211" s="213"/>
      <c r="CM211" s="213"/>
      <c r="CN211" s="213"/>
      <c r="CO211" s="213"/>
      <c r="CP211" s="213"/>
      <c r="CQ211" s="213"/>
      <c r="CR211" s="213"/>
      <c r="CS211" s="213"/>
      <c r="CT211" s="213"/>
      <c r="CU211" s="213"/>
      <c r="CV211" s="213"/>
      <c r="CW211" s="213"/>
      <c r="CX211" s="213"/>
      <c r="CY211" s="213"/>
      <c r="CZ211" s="214"/>
      <c r="DA211" s="214"/>
      <c r="DB211" s="214"/>
      <c r="DC211" s="214"/>
      <c r="DD211" s="214"/>
      <c r="DE211" s="214"/>
      <c r="DF211" s="214"/>
      <c r="DG211" s="214"/>
      <c r="DH211" s="214"/>
      <c r="DI211" s="214"/>
      <c r="DJ211" s="214"/>
      <c r="DK211" s="214"/>
      <c r="DL211" s="214"/>
      <c r="DM211" s="214"/>
    </row>
    <row r="212" spans="1:117" s="215" customFormat="1" ht="12.75">
      <c r="A212" s="259"/>
      <c r="B212" s="260"/>
      <c r="C212" s="261"/>
      <c r="D212" s="261"/>
      <c r="E212" s="261"/>
      <c r="F212" s="261"/>
      <c r="G212" s="193"/>
      <c r="H212" s="259"/>
      <c r="I212" s="193"/>
      <c r="J212" s="193"/>
      <c r="K212" s="193"/>
      <c r="L212" s="193"/>
      <c r="M212" s="193"/>
      <c r="N212" s="193"/>
      <c r="O212" s="193"/>
      <c r="P212" s="193"/>
      <c r="Q212" s="193"/>
      <c r="R212" s="193"/>
      <c r="S212" s="193"/>
      <c r="T212" s="193"/>
      <c r="U212" s="193"/>
      <c r="V212" s="193"/>
      <c r="W212" s="193"/>
      <c r="X212" s="262"/>
      <c r="Y212" s="262"/>
      <c r="Z212" s="193"/>
      <c r="AA212" s="193"/>
      <c r="AB212" s="193"/>
      <c r="AC212" s="193"/>
      <c r="AD212" s="263"/>
      <c r="AE212" s="263"/>
      <c r="AF212" s="263"/>
      <c r="AG212" s="263"/>
      <c r="AH212" s="263"/>
      <c r="AI212" s="263"/>
      <c r="AJ212" s="263"/>
      <c r="AK212" s="263"/>
      <c r="AL212" s="263"/>
      <c r="AM212" s="263"/>
      <c r="AN212" s="263"/>
      <c r="AO212" s="263"/>
      <c r="AP212" s="263"/>
      <c r="AQ212" s="264"/>
      <c r="AR212" s="264"/>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c r="CF212" s="213"/>
      <c r="CG212" s="213"/>
      <c r="CH212" s="213"/>
      <c r="CI212" s="213"/>
      <c r="CJ212" s="213"/>
      <c r="CK212" s="213"/>
      <c r="CL212" s="213"/>
      <c r="CM212" s="213"/>
      <c r="CN212" s="213"/>
      <c r="CO212" s="213"/>
      <c r="CP212" s="213"/>
      <c r="CQ212" s="213"/>
      <c r="CR212" s="213"/>
      <c r="CS212" s="213"/>
      <c r="CT212" s="213"/>
      <c r="CU212" s="213"/>
      <c r="CV212" s="213"/>
      <c r="CW212" s="213"/>
      <c r="CX212" s="213"/>
      <c r="CY212" s="213"/>
      <c r="CZ212" s="214"/>
      <c r="DA212" s="214"/>
      <c r="DB212" s="214"/>
      <c r="DC212" s="214"/>
      <c r="DD212" s="214"/>
      <c r="DE212" s="214"/>
      <c r="DF212" s="214"/>
      <c r="DG212" s="214"/>
      <c r="DH212" s="214"/>
      <c r="DI212" s="214"/>
      <c r="DJ212" s="214"/>
      <c r="DK212" s="214"/>
      <c r="DL212" s="214"/>
      <c r="DM212" s="214"/>
    </row>
    <row r="213" spans="1:117" s="215" customFormat="1" ht="12.75">
      <c r="A213" s="259"/>
      <c r="B213" s="260"/>
      <c r="C213" s="261"/>
      <c r="D213" s="261"/>
      <c r="E213" s="261"/>
      <c r="F213" s="261"/>
      <c r="G213" s="193"/>
      <c r="H213" s="259"/>
      <c r="I213" s="193"/>
      <c r="J213" s="193"/>
      <c r="K213" s="193"/>
      <c r="L213" s="193"/>
      <c r="M213" s="193"/>
      <c r="N213" s="193"/>
      <c r="O213" s="193"/>
      <c r="P213" s="193"/>
      <c r="Q213" s="193"/>
      <c r="R213" s="193"/>
      <c r="S213" s="193"/>
      <c r="T213" s="193"/>
      <c r="U213" s="193"/>
      <c r="V213" s="193"/>
      <c r="W213" s="193"/>
      <c r="X213" s="262"/>
      <c r="Y213" s="262"/>
      <c r="Z213" s="193"/>
      <c r="AA213" s="193"/>
      <c r="AB213" s="193"/>
      <c r="AC213" s="193"/>
      <c r="AD213" s="263"/>
      <c r="AE213" s="263"/>
      <c r="AF213" s="263"/>
      <c r="AG213" s="263"/>
      <c r="AH213" s="263"/>
      <c r="AI213" s="263"/>
      <c r="AJ213" s="263"/>
      <c r="AK213" s="263"/>
      <c r="AL213" s="263"/>
      <c r="AM213" s="263"/>
      <c r="AN213" s="263"/>
      <c r="AO213" s="263"/>
      <c r="AP213" s="263"/>
      <c r="AQ213" s="264"/>
      <c r="AR213" s="264"/>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c r="CF213" s="213"/>
      <c r="CG213" s="213"/>
      <c r="CH213" s="213"/>
      <c r="CI213" s="213"/>
      <c r="CJ213" s="213"/>
      <c r="CK213" s="213"/>
      <c r="CL213" s="213"/>
      <c r="CM213" s="213"/>
      <c r="CN213" s="213"/>
      <c r="CO213" s="213"/>
      <c r="CP213" s="213"/>
      <c r="CQ213" s="213"/>
      <c r="CR213" s="213"/>
      <c r="CS213" s="213"/>
      <c r="CT213" s="213"/>
      <c r="CU213" s="213"/>
      <c r="CV213" s="213"/>
      <c r="CW213" s="213"/>
      <c r="CX213" s="213"/>
      <c r="CY213" s="213"/>
      <c r="CZ213" s="214"/>
      <c r="DA213" s="214"/>
      <c r="DB213" s="214"/>
      <c r="DC213" s="214"/>
      <c r="DD213" s="214"/>
      <c r="DE213" s="214"/>
      <c r="DF213" s="214"/>
      <c r="DG213" s="214"/>
      <c r="DH213" s="214"/>
      <c r="DI213" s="214"/>
      <c r="DJ213" s="214"/>
      <c r="DK213" s="214"/>
      <c r="DL213" s="214"/>
      <c r="DM213" s="214"/>
    </row>
    <row r="214" spans="1:117" s="215" customFormat="1" ht="12.75">
      <c r="A214" s="259"/>
      <c r="B214" s="260"/>
      <c r="C214" s="261"/>
      <c r="D214" s="261"/>
      <c r="E214" s="261"/>
      <c r="F214" s="261"/>
      <c r="G214" s="193"/>
      <c r="H214" s="259"/>
      <c r="I214" s="193"/>
      <c r="J214" s="193"/>
      <c r="K214" s="193"/>
      <c r="L214" s="193"/>
      <c r="M214" s="193"/>
      <c r="N214" s="193"/>
      <c r="O214" s="193"/>
      <c r="P214" s="193"/>
      <c r="Q214" s="193"/>
      <c r="R214" s="193"/>
      <c r="S214" s="193"/>
      <c r="T214" s="193"/>
      <c r="U214" s="193"/>
      <c r="V214" s="193"/>
      <c r="W214" s="193"/>
      <c r="X214" s="262"/>
      <c r="Y214" s="262"/>
      <c r="Z214" s="193"/>
      <c r="AA214" s="193"/>
      <c r="AB214" s="193"/>
      <c r="AC214" s="193"/>
      <c r="AD214" s="263"/>
      <c r="AE214" s="263"/>
      <c r="AF214" s="263"/>
      <c r="AG214" s="263"/>
      <c r="AH214" s="263"/>
      <c r="AI214" s="263"/>
      <c r="AJ214" s="263"/>
      <c r="AK214" s="263"/>
      <c r="AL214" s="263"/>
      <c r="AM214" s="263"/>
      <c r="AN214" s="263"/>
      <c r="AO214" s="263"/>
      <c r="AP214" s="263"/>
      <c r="AQ214" s="264"/>
      <c r="AR214" s="264"/>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c r="CZ214" s="214"/>
      <c r="DA214" s="214"/>
      <c r="DB214" s="214"/>
      <c r="DC214" s="214"/>
      <c r="DD214" s="214"/>
      <c r="DE214" s="214"/>
      <c r="DF214" s="214"/>
      <c r="DG214" s="214"/>
      <c r="DH214" s="214"/>
      <c r="DI214" s="214"/>
      <c r="DJ214" s="214"/>
      <c r="DK214" s="214"/>
      <c r="DL214" s="214"/>
      <c r="DM214" s="214"/>
    </row>
    <row r="215" spans="1:117" s="215" customFormat="1" ht="12.75">
      <c r="A215" s="259"/>
      <c r="B215" s="260"/>
      <c r="C215" s="261"/>
      <c r="D215" s="261"/>
      <c r="E215" s="261"/>
      <c r="F215" s="261"/>
      <c r="G215" s="193"/>
      <c r="H215" s="259"/>
      <c r="I215" s="193"/>
      <c r="J215" s="193"/>
      <c r="K215" s="193"/>
      <c r="L215" s="193"/>
      <c r="M215" s="193"/>
      <c r="N215" s="193"/>
      <c r="O215" s="193"/>
      <c r="P215" s="193"/>
      <c r="Q215" s="193"/>
      <c r="R215" s="193"/>
      <c r="S215" s="193"/>
      <c r="T215" s="193"/>
      <c r="U215" s="193"/>
      <c r="V215" s="193"/>
      <c r="W215" s="193"/>
      <c r="X215" s="262"/>
      <c r="Y215" s="262"/>
      <c r="Z215" s="193"/>
      <c r="AA215" s="193"/>
      <c r="AB215" s="193"/>
      <c r="AC215" s="193"/>
      <c r="AD215" s="263"/>
      <c r="AE215" s="263"/>
      <c r="AF215" s="263"/>
      <c r="AG215" s="263"/>
      <c r="AH215" s="263"/>
      <c r="AI215" s="263"/>
      <c r="AJ215" s="263"/>
      <c r="AK215" s="263"/>
      <c r="AL215" s="263"/>
      <c r="AM215" s="263"/>
      <c r="AN215" s="263"/>
      <c r="AO215" s="263"/>
      <c r="AP215" s="263"/>
      <c r="AQ215" s="264"/>
      <c r="AR215" s="264"/>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c r="CF215" s="213"/>
      <c r="CG215" s="213"/>
      <c r="CH215" s="213"/>
      <c r="CI215" s="213"/>
      <c r="CJ215" s="213"/>
      <c r="CK215" s="213"/>
      <c r="CL215" s="213"/>
      <c r="CM215" s="213"/>
      <c r="CN215" s="213"/>
      <c r="CO215" s="213"/>
      <c r="CP215" s="213"/>
      <c r="CQ215" s="213"/>
      <c r="CR215" s="213"/>
      <c r="CS215" s="213"/>
      <c r="CT215" s="213"/>
      <c r="CU215" s="213"/>
      <c r="CV215" s="213"/>
      <c r="CW215" s="213"/>
      <c r="CX215" s="213"/>
      <c r="CY215" s="213"/>
      <c r="CZ215" s="214"/>
      <c r="DA215" s="214"/>
      <c r="DB215" s="214"/>
      <c r="DC215" s="214"/>
      <c r="DD215" s="214"/>
      <c r="DE215" s="214"/>
      <c r="DF215" s="214"/>
      <c r="DG215" s="214"/>
      <c r="DH215" s="214"/>
      <c r="DI215" s="214"/>
      <c r="DJ215" s="214"/>
      <c r="DK215" s="214"/>
      <c r="DL215" s="214"/>
      <c r="DM215" s="214"/>
    </row>
    <row r="216" spans="1:117" s="215" customFormat="1" ht="12.75">
      <c r="A216" s="259"/>
      <c r="B216" s="260"/>
      <c r="C216" s="261"/>
      <c r="D216" s="261"/>
      <c r="E216" s="261"/>
      <c r="F216" s="261"/>
      <c r="G216" s="193"/>
      <c r="H216" s="259"/>
      <c r="I216" s="193"/>
      <c r="J216" s="193"/>
      <c r="K216" s="193"/>
      <c r="L216" s="193"/>
      <c r="M216" s="193"/>
      <c r="N216" s="193"/>
      <c r="O216" s="193"/>
      <c r="P216" s="193"/>
      <c r="Q216" s="193"/>
      <c r="R216" s="193"/>
      <c r="S216" s="193"/>
      <c r="T216" s="193"/>
      <c r="U216" s="193"/>
      <c r="V216" s="193"/>
      <c r="W216" s="193"/>
      <c r="X216" s="262"/>
      <c r="Y216" s="262"/>
      <c r="Z216" s="193"/>
      <c r="AA216" s="193"/>
      <c r="AB216" s="193"/>
      <c r="AC216" s="193"/>
      <c r="AD216" s="263"/>
      <c r="AE216" s="263"/>
      <c r="AF216" s="263"/>
      <c r="AG216" s="263"/>
      <c r="AH216" s="263"/>
      <c r="AI216" s="263"/>
      <c r="AJ216" s="263"/>
      <c r="AK216" s="263"/>
      <c r="AL216" s="263"/>
      <c r="AM216" s="263"/>
      <c r="AN216" s="263"/>
      <c r="AO216" s="263"/>
      <c r="AP216" s="263"/>
      <c r="AQ216" s="264"/>
      <c r="AR216" s="264"/>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c r="CF216" s="213"/>
      <c r="CG216" s="213"/>
      <c r="CH216" s="213"/>
      <c r="CI216" s="213"/>
      <c r="CJ216" s="213"/>
      <c r="CK216" s="213"/>
      <c r="CL216" s="213"/>
      <c r="CM216" s="213"/>
      <c r="CN216" s="213"/>
      <c r="CO216" s="213"/>
      <c r="CP216" s="213"/>
      <c r="CQ216" s="213"/>
      <c r="CR216" s="213"/>
      <c r="CS216" s="213"/>
      <c r="CT216" s="213"/>
      <c r="CU216" s="213"/>
      <c r="CV216" s="213"/>
      <c r="CW216" s="213"/>
      <c r="CX216" s="213"/>
      <c r="CY216" s="213"/>
      <c r="CZ216" s="214"/>
      <c r="DA216" s="214"/>
      <c r="DB216" s="214"/>
      <c r="DC216" s="214"/>
      <c r="DD216" s="214"/>
      <c r="DE216" s="214"/>
      <c r="DF216" s="214"/>
      <c r="DG216" s="214"/>
      <c r="DH216" s="214"/>
      <c r="DI216" s="214"/>
      <c r="DJ216" s="214"/>
      <c r="DK216" s="214"/>
      <c r="DL216" s="214"/>
      <c r="DM216" s="214"/>
    </row>
    <row r="217" spans="1:117" s="215" customFormat="1" ht="12.75">
      <c r="A217" s="259"/>
      <c r="B217" s="260"/>
      <c r="C217" s="261"/>
      <c r="D217" s="261"/>
      <c r="E217" s="261"/>
      <c r="F217" s="261"/>
      <c r="G217" s="193"/>
      <c r="H217" s="259"/>
      <c r="I217" s="193"/>
      <c r="J217" s="193"/>
      <c r="K217" s="193"/>
      <c r="L217" s="193"/>
      <c r="M217" s="193"/>
      <c r="N217" s="193"/>
      <c r="O217" s="193"/>
      <c r="P217" s="193"/>
      <c r="Q217" s="193"/>
      <c r="R217" s="193"/>
      <c r="S217" s="193"/>
      <c r="T217" s="193"/>
      <c r="U217" s="193"/>
      <c r="V217" s="193"/>
      <c r="W217" s="193"/>
      <c r="X217" s="262"/>
      <c r="Y217" s="262"/>
      <c r="Z217" s="193"/>
      <c r="AA217" s="193"/>
      <c r="AB217" s="193"/>
      <c r="AC217" s="193"/>
      <c r="AD217" s="263"/>
      <c r="AE217" s="263"/>
      <c r="AF217" s="263"/>
      <c r="AG217" s="263"/>
      <c r="AH217" s="263"/>
      <c r="AI217" s="263"/>
      <c r="AJ217" s="263"/>
      <c r="AK217" s="263"/>
      <c r="AL217" s="263"/>
      <c r="AM217" s="263"/>
      <c r="AN217" s="263"/>
      <c r="AO217" s="263"/>
      <c r="AP217" s="263"/>
      <c r="AQ217" s="264"/>
      <c r="AR217" s="264"/>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c r="CF217" s="213"/>
      <c r="CG217" s="213"/>
      <c r="CH217" s="213"/>
      <c r="CI217" s="213"/>
      <c r="CJ217" s="213"/>
      <c r="CK217" s="213"/>
      <c r="CL217" s="213"/>
      <c r="CM217" s="213"/>
      <c r="CN217" s="213"/>
      <c r="CO217" s="213"/>
      <c r="CP217" s="213"/>
      <c r="CQ217" s="213"/>
      <c r="CR217" s="213"/>
      <c r="CS217" s="213"/>
      <c r="CT217" s="213"/>
      <c r="CU217" s="213"/>
      <c r="CV217" s="213"/>
      <c r="CW217" s="213"/>
      <c r="CX217" s="213"/>
      <c r="CY217" s="213"/>
      <c r="CZ217" s="214"/>
      <c r="DA217" s="214"/>
      <c r="DB217" s="214"/>
      <c r="DC217" s="214"/>
      <c r="DD217" s="214"/>
      <c r="DE217" s="214"/>
      <c r="DF217" s="214"/>
      <c r="DG217" s="214"/>
      <c r="DH217" s="214"/>
      <c r="DI217" s="214"/>
      <c r="DJ217" s="214"/>
      <c r="DK217" s="214"/>
      <c r="DL217" s="214"/>
      <c r="DM217" s="214"/>
    </row>
    <row r="218" spans="1:117" s="215" customFormat="1" ht="12.75">
      <c r="A218" s="259"/>
      <c r="B218" s="260"/>
      <c r="C218" s="261"/>
      <c r="D218" s="261"/>
      <c r="E218" s="261"/>
      <c r="F218" s="261"/>
      <c r="G218" s="193"/>
      <c r="H218" s="259"/>
      <c r="I218" s="193"/>
      <c r="J218" s="193"/>
      <c r="K218" s="193"/>
      <c r="L218" s="193"/>
      <c r="M218" s="193"/>
      <c r="N218" s="193"/>
      <c r="O218" s="193"/>
      <c r="P218" s="193"/>
      <c r="Q218" s="193"/>
      <c r="R218" s="193"/>
      <c r="S218" s="193"/>
      <c r="T218" s="193"/>
      <c r="U218" s="193"/>
      <c r="V218" s="193"/>
      <c r="W218" s="193"/>
      <c r="X218" s="262"/>
      <c r="Y218" s="262"/>
      <c r="Z218" s="193"/>
      <c r="AA218" s="193"/>
      <c r="AB218" s="193"/>
      <c r="AC218" s="193"/>
      <c r="AD218" s="263"/>
      <c r="AE218" s="263"/>
      <c r="AF218" s="263"/>
      <c r="AG218" s="263"/>
      <c r="AH218" s="263"/>
      <c r="AI218" s="263"/>
      <c r="AJ218" s="263"/>
      <c r="AK218" s="263"/>
      <c r="AL218" s="263"/>
      <c r="AM218" s="263"/>
      <c r="AN218" s="263"/>
      <c r="AO218" s="263"/>
      <c r="AP218" s="263"/>
      <c r="AQ218" s="264"/>
      <c r="AR218" s="264"/>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c r="CF218" s="213"/>
      <c r="CG218" s="213"/>
      <c r="CH218" s="213"/>
      <c r="CI218" s="213"/>
      <c r="CJ218" s="213"/>
      <c r="CK218" s="213"/>
      <c r="CL218" s="213"/>
      <c r="CM218" s="213"/>
      <c r="CN218" s="213"/>
      <c r="CO218" s="213"/>
      <c r="CP218" s="213"/>
      <c r="CQ218" s="213"/>
      <c r="CR218" s="213"/>
      <c r="CS218" s="213"/>
      <c r="CT218" s="213"/>
      <c r="CU218" s="213"/>
      <c r="CV218" s="213"/>
      <c r="CW218" s="213"/>
      <c r="CX218" s="213"/>
      <c r="CY218" s="213"/>
      <c r="CZ218" s="214"/>
      <c r="DA218" s="214"/>
      <c r="DB218" s="214"/>
      <c r="DC218" s="214"/>
      <c r="DD218" s="214"/>
      <c r="DE218" s="214"/>
      <c r="DF218" s="214"/>
      <c r="DG218" s="214"/>
      <c r="DH218" s="214"/>
      <c r="DI218" s="214"/>
      <c r="DJ218" s="214"/>
      <c r="DK218" s="214"/>
      <c r="DL218" s="214"/>
      <c r="DM218" s="214"/>
    </row>
    <row r="219" spans="1:117" s="215" customFormat="1" ht="12.75">
      <c r="A219" s="259"/>
      <c r="B219" s="260"/>
      <c r="C219" s="261"/>
      <c r="D219" s="261"/>
      <c r="E219" s="261"/>
      <c r="F219" s="261"/>
      <c r="G219" s="193"/>
      <c r="H219" s="259"/>
      <c r="I219" s="193"/>
      <c r="J219" s="193"/>
      <c r="K219" s="193"/>
      <c r="L219" s="193"/>
      <c r="M219" s="193"/>
      <c r="N219" s="193"/>
      <c r="O219" s="193"/>
      <c r="P219" s="193"/>
      <c r="Q219" s="193"/>
      <c r="R219" s="193"/>
      <c r="S219" s="193"/>
      <c r="T219" s="193"/>
      <c r="U219" s="193"/>
      <c r="V219" s="193"/>
      <c r="W219" s="193"/>
      <c r="X219" s="262"/>
      <c r="Y219" s="262"/>
      <c r="Z219" s="193"/>
      <c r="AA219" s="193"/>
      <c r="AB219" s="193"/>
      <c r="AC219" s="193"/>
      <c r="AD219" s="263"/>
      <c r="AE219" s="263"/>
      <c r="AF219" s="263"/>
      <c r="AG219" s="263"/>
      <c r="AH219" s="263"/>
      <c r="AI219" s="263"/>
      <c r="AJ219" s="263"/>
      <c r="AK219" s="263"/>
      <c r="AL219" s="263"/>
      <c r="AM219" s="263"/>
      <c r="AN219" s="263"/>
      <c r="AO219" s="263"/>
      <c r="AP219" s="263"/>
      <c r="AQ219" s="264"/>
      <c r="AR219" s="264"/>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c r="CF219" s="213"/>
      <c r="CG219" s="213"/>
      <c r="CH219" s="213"/>
      <c r="CI219" s="213"/>
      <c r="CJ219" s="213"/>
      <c r="CK219" s="213"/>
      <c r="CL219" s="213"/>
      <c r="CM219" s="213"/>
      <c r="CN219" s="213"/>
      <c r="CO219" s="213"/>
      <c r="CP219" s="213"/>
      <c r="CQ219" s="213"/>
      <c r="CR219" s="213"/>
      <c r="CS219" s="213"/>
      <c r="CT219" s="213"/>
      <c r="CU219" s="213"/>
      <c r="CV219" s="213"/>
      <c r="CW219" s="213"/>
      <c r="CX219" s="213"/>
      <c r="CY219" s="213"/>
      <c r="CZ219" s="214"/>
      <c r="DA219" s="214"/>
      <c r="DB219" s="214"/>
      <c r="DC219" s="214"/>
      <c r="DD219" s="214"/>
      <c r="DE219" s="214"/>
      <c r="DF219" s="214"/>
      <c r="DG219" s="214"/>
      <c r="DH219" s="214"/>
      <c r="DI219" s="214"/>
      <c r="DJ219" s="214"/>
      <c r="DK219" s="214"/>
      <c r="DL219" s="214"/>
      <c r="DM219" s="214"/>
    </row>
    <row r="220" spans="1:117" s="215" customFormat="1" ht="12.75">
      <c r="A220" s="259"/>
      <c r="B220" s="260"/>
      <c r="C220" s="261"/>
      <c r="D220" s="261"/>
      <c r="E220" s="261"/>
      <c r="F220" s="261"/>
      <c r="G220" s="193"/>
      <c r="H220" s="259"/>
      <c r="I220" s="193"/>
      <c r="J220" s="193"/>
      <c r="K220" s="193"/>
      <c r="L220" s="193"/>
      <c r="M220" s="193"/>
      <c r="N220" s="193"/>
      <c r="O220" s="193"/>
      <c r="P220" s="193"/>
      <c r="Q220" s="193"/>
      <c r="R220" s="193"/>
      <c r="S220" s="193"/>
      <c r="T220" s="193"/>
      <c r="U220" s="193"/>
      <c r="V220" s="193"/>
      <c r="W220" s="193"/>
      <c r="X220" s="262"/>
      <c r="Y220" s="262"/>
      <c r="Z220" s="193"/>
      <c r="AA220" s="193"/>
      <c r="AB220" s="193"/>
      <c r="AC220" s="193"/>
      <c r="AD220" s="263"/>
      <c r="AE220" s="263"/>
      <c r="AF220" s="263"/>
      <c r="AG220" s="263"/>
      <c r="AH220" s="263"/>
      <c r="AI220" s="263"/>
      <c r="AJ220" s="263"/>
      <c r="AK220" s="263"/>
      <c r="AL220" s="263"/>
      <c r="AM220" s="263"/>
      <c r="AN220" s="263"/>
      <c r="AO220" s="263"/>
      <c r="AP220" s="263"/>
      <c r="AQ220" s="264"/>
      <c r="AR220" s="264"/>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c r="CF220" s="213"/>
      <c r="CG220" s="213"/>
      <c r="CH220" s="213"/>
      <c r="CI220" s="213"/>
      <c r="CJ220" s="213"/>
      <c r="CK220" s="213"/>
      <c r="CL220" s="213"/>
      <c r="CM220" s="213"/>
      <c r="CN220" s="213"/>
      <c r="CO220" s="213"/>
      <c r="CP220" s="213"/>
      <c r="CQ220" s="213"/>
      <c r="CR220" s="213"/>
      <c r="CS220" s="213"/>
      <c r="CT220" s="213"/>
      <c r="CU220" s="213"/>
      <c r="CV220" s="213"/>
      <c r="CW220" s="213"/>
      <c r="CX220" s="213"/>
      <c r="CY220" s="213"/>
      <c r="CZ220" s="214"/>
      <c r="DA220" s="214"/>
      <c r="DB220" s="214"/>
      <c r="DC220" s="214"/>
      <c r="DD220" s="214"/>
      <c r="DE220" s="214"/>
      <c r="DF220" s="214"/>
      <c r="DG220" s="214"/>
      <c r="DH220" s="214"/>
      <c r="DI220" s="214"/>
      <c r="DJ220" s="214"/>
      <c r="DK220" s="214"/>
      <c r="DL220" s="214"/>
      <c r="DM220" s="214"/>
    </row>
    <row r="221" spans="1:117" s="215" customFormat="1" ht="12.75">
      <c r="A221" s="259"/>
      <c r="B221" s="260"/>
      <c r="C221" s="261"/>
      <c r="D221" s="261"/>
      <c r="E221" s="261"/>
      <c r="F221" s="261"/>
      <c r="G221" s="193"/>
      <c r="H221" s="259"/>
      <c r="I221" s="193"/>
      <c r="J221" s="193"/>
      <c r="K221" s="193"/>
      <c r="L221" s="193"/>
      <c r="M221" s="193"/>
      <c r="N221" s="193"/>
      <c r="O221" s="193"/>
      <c r="P221" s="193"/>
      <c r="Q221" s="193"/>
      <c r="R221" s="193"/>
      <c r="S221" s="193"/>
      <c r="T221" s="193"/>
      <c r="U221" s="193"/>
      <c r="V221" s="193"/>
      <c r="W221" s="193"/>
      <c r="X221" s="262"/>
      <c r="Y221" s="262"/>
      <c r="Z221" s="193"/>
      <c r="AA221" s="193"/>
      <c r="AB221" s="193"/>
      <c r="AC221" s="193"/>
      <c r="AD221" s="263"/>
      <c r="AE221" s="263"/>
      <c r="AF221" s="263"/>
      <c r="AG221" s="263"/>
      <c r="AH221" s="263"/>
      <c r="AI221" s="263"/>
      <c r="AJ221" s="263"/>
      <c r="AK221" s="263"/>
      <c r="AL221" s="263"/>
      <c r="AM221" s="263"/>
      <c r="AN221" s="263"/>
      <c r="AO221" s="263"/>
      <c r="AP221" s="263"/>
      <c r="AQ221" s="264"/>
      <c r="AR221" s="264"/>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c r="CF221" s="213"/>
      <c r="CG221" s="213"/>
      <c r="CH221" s="213"/>
      <c r="CI221" s="213"/>
      <c r="CJ221" s="213"/>
      <c r="CK221" s="213"/>
      <c r="CL221" s="213"/>
      <c r="CM221" s="213"/>
      <c r="CN221" s="213"/>
      <c r="CO221" s="213"/>
      <c r="CP221" s="213"/>
      <c r="CQ221" s="213"/>
      <c r="CR221" s="213"/>
      <c r="CS221" s="213"/>
      <c r="CT221" s="213"/>
      <c r="CU221" s="213"/>
      <c r="CV221" s="213"/>
      <c r="CW221" s="213"/>
      <c r="CX221" s="213"/>
      <c r="CY221" s="213"/>
      <c r="CZ221" s="214"/>
      <c r="DA221" s="214"/>
      <c r="DB221" s="214"/>
      <c r="DC221" s="214"/>
      <c r="DD221" s="214"/>
      <c r="DE221" s="214"/>
      <c r="DF221" s="214"/>
      <c r="DG221" s="214"/>
      <c r="DH221" s="214"/>
      <c r="DI221" s="214"/>
      <c r="DJ221" s="214"/>
      <c r="DK221" s="214"/>
      <c r="DL221" s="214"/>
      <c r="DM221" s="214"/>
    </row>
    <row r="222" spans="1:117" s="215" customFormat="1" ht="12.75">
      <c r="A222" s="259"/>
      <c r="B222" s="260"/>
      <c r="C222" s="261"/>
      <c r="D222" s="261"/>
      <c r="E222" s="261"/>
      <c r="F222" s="261"/>
      <c r="G222" s="193"/>
      <c r="H222" s="259"/>
      <c r="I222" s="193"/>
      <c r="J222" s="193"/>
      <c r="K222" s="193"/>
      <c r="L222" s="193"/>
      <c r="M222" s="193"/>
      <c r="N222" s="193"/>
      <c r="O222" s="193"/>
      <c r="P222" s="193"/>
      <c r="Q222" s="193"/>
      <c r="R222" s="193"/>
      <c r="S222" s="193"/>
      <c r="T222" s="193"/>
      <c r="U222" s="193"/>
      <c r="V222" s="193"/>
      <c r="W222" s="193"/>
      <c r="X222" s="262"/>
      <c r="Y222" s="262"/>
      <c r="Z222" s="193"/>
      <c r="AA222" s="193"/>
      <c r="AB222" s="193"/>
      <c r="AC222" s="193"/>
      <c r="AD222" s="263"/>
      <c r="AE222" s="263"/>
      <c r="AF222" s="263"/>
      <c r="AG222" s="263"/>
      <c r="AH222" s="263"/>
      <c r="AI222" s="263"/>
      <c r="AJ222" s="263"/>
      <c r="AK222" s="263"/>
      <c r="AL222" s="263"/>
      <c r="AM222" s="263"/>
      <c r="AN222" s="263"/>
      <c r="AO222" s="263"/>
      <c r="AP222" s="263"/>
      <c r="AQ222" s="264"/>
      <c r="AR222" s="264"/>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c r="BZ222" s="213"/>
      <c r="CA222" s="213"/>
      <c r="CB222" s="213"/>
      <c r="CC222" s="213"/>
      <c r="CD222" s="213"/>
      <c r="CE222" s="213"/>
      <c r="CF222" s="213"/>
      <c r="CG222" s="213"/>
      <c r="CH222" s="213"/>
      <c r="CI222" s="213"/>
      <c r="CJ222" s="213"/>
      <c r="CK222" s="213"/>
      <c r="CL222" s="213"/>
      <c r="CM222" s="213"/>
      <c r="CN222" s="213"/>
      <c r="CO222" s="213"/>
      <c r="CP222" s="213"/>
      <c r="CQ222" s="213"/>
      <c r="CR222" s="213"/>
      <c r="CS222" s="213"/>
      <c r="CT222" s="213"/>
      <c r="CU222" s="213"/>
      <c r="CV222" s="213"/>
      <c r="CW222" s="213"/>
      <c r="CX222" s="213"/>
      <c r="CY222" s="213"/>
      <c r="CZ222" s="214"/>
      <c r="DA222" s="214"/>
      <c r="DB222" s="214"/>
      <c r="DC222" s="214"/>
      <c r="DD222" s="214"/>
      <c r="DE222" s="214"/>
      <c r="DF222" s="214"/>
      <c r="DG222" s="214"/>
      <c r="DH222" s="214"/>
      <c r="DI222" s="214"/>
      <c r="DJ222" s="214"/>
      <c r="DK222" s="214"/>
      <c r="DL222" s="214"/>
      <c r="DM222" s="214"/>
    </row>
    <row r="223" spans="1:117" s="215" customFormat="1" ht="12.75">
      <c r="A223" s="259"/>
      <c r="B223" s="260"/>
      <c r="C223" s="261"/>
      <c r="D223" s="261"/>
      <c r="E223" s="261"/>
      <c r="F223" s="261"/>
      <c r="G223" s="193"/>
      <c r="H223" s="259"/>
      <c r="I223" s="193"/>
      <c r="J223" s="193"/>
      <c r="K223" s="193"/>
      <c r="L223" s="193"/>
      <c r="M223" s="193"/>
      <c r="N223" s="193"/>
      <c r="O223" s="193"/>
      <c r="P223" s="193"/>
      <c r="Q223" s="193"/>
      <c r="R223" s="193"/>
      <c r="S223" s="193"/>
      <c r="T223" s="193"/>
      <c r="U223" s="193"/>
      <c r="V223" s="193"/>
      <c r="W223" s="193"/>
      <c r="X223" s="262"/>
      <c r="Y223" s="262"/>
      <c r="Z223" s="193"/>
      <c r="AA223" s="193"/>
      <c r="AB223" s="193"/>
      <c r="AC223" s="193"/>
      <c r="AD223" s="263"/>
      <c r="AE223" s="263"/>
      <c r="AF223" s="263"/>
      <c r="AG223" s="263"/>
      <c r="AH223" s="263"/>
      <c r="AI223" s="263"/>
      <c r="AJ223" s="263"/>
      <c r="AK223" s="263"/>
      <c r="AL223" s="263"/>
      <c r="AM223" s="263"/>
      <c r="AN223" s="263"/>
      <c r="AO223" s="263"/>
      <c r="AP223" s="263"/>
      <c r="AQ223" s="264"/>
      <c r="AR223" s="264"/>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c r="BZ223" s="213"/>
      <c r="CA223" s="213"/>
      <c r="CB223" s="213"/>
      <c r="CC223" s="213"/>
      <c r="CD223" s="213"/>
      <c r="CE223" s="213"/>
      <c r="CF223" s="213"/>
      <c r="CG223" s="213"/>
      <c r="CH223" s="213"/>
      <c r="CI223" s="213"/>
      <c r="CJ223" s="213"/>
      <c r="CK223" s="213"/>
      <c r="CL223" s="213"/>
      <c r="CM223" s="213"/>
      <c r="CN223" s="213"/>
      <c r="CO223" s="213"/>
      <c r="CP223" s="213"/>
      <c r="CQ223" s="213"/>
      <c r="CR223" s="213"/>
      <c r="CS223" s="213"/>
      <c r="CT223" s="213"/>
      <c r="CU223" s="213"/>
      <c r="CV223" s="213"/>
      <c r="CW223" s="213"/>
      <c r="CX223" s="213"/>
      <c r="CY223" s="213"/>
      <c r="CZ223" s="214"/>
      <c r="DA223" s="214"/>
      <c r="DB223" s="214"/>
      <c r="DC223" s="214"/>
      <c r="DD223" s="214"/>
      <c r="DE223" s="214"/>
      <c r="DF223" s="214"/>
      <c r="DG223" s="214"/>
      <c r="DH223" s="214"/>
      <c r="DI223" s="214"/>
      <c r="DJ223" s="214"/>
      <c r="DK223" s="214"/>
      <c r="DL223" s="214"/>
      <c r="DM223" s="214"/>
    </row>
    <row r="224" spans="1:117" s="215" customFormat="1" ht="12.75">
      <c r="A224" s="259"/>
      <c r="B224" s="260"/>
      <c r="C224" s="261"/>
      <c r="D224" s="261"/>
      <c r="E224" s="261"/>
      <c r="F224" s="261"/>
      <c r="G224" s="193"/>
      <c r="H224" s="259"/>
      <c r="I224" s="193"/>
      <c r="J224" s="193"/>
      <c r="K224" s="193"/>
      <c r="L224" s="193"/>
      <c r="M224" s="193"/>
      <c r="N224" s="193"/>
      <c r="O224" s="193"/>
      <c r="P224" s="193"/>
      <c r="Q224" s="193"/>
      <c r="R224" s="193"/>
      <c r="S224" s="193"/>
      <c r="T224" s="193"/>
      <c r="U224" s="193"/>
      <c r="V224" s="193"/>
      <c r="W224" s="193"/>
      <c r="X224" s="262"/>
      <c r="Y224" s="262"/>
      <c r="Z224" s="193"/>
      <c r="AA224" s="193"/>
      <c r="AB224" s="193"/>
      <c r="AC224" s="193"/>
      <c r="AD224" s="263"/>
      <c r="AE224" s="263"/>
      <c r="AF224" s="263"/>
      <c r="AG224" s="263"/>
      <c r="AH224" s="263"/>
      <c r="AI224" s="263"/>
      <c r="AJ224" s="263"/>
      <c r="AK224" s="263"/>
      <c r="AL224" s="263"/>
      <c r="AM224" s="263"/>
      <c r="AN224" s="263"/>
      <c r="AO224" s="263"/>
      <c r="AP224" s="263"/>
      <c r="AQ224" s="264"/>
      <c r="AR224" s="264"/>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c r="BZ224" s="213"/>
      <c r="CA224" s="213"/>
      <c r="CB224" s="213"/>
      <c r="CC224" s="213"/>
      <c r="CD224" s="213"/>
      <c r="CE224" s="213"/>
      <c r="CF224" s="213"/>
      <c r="CG224" s="213"/>
      <c r="CH224" s="213"/>
      <c r="CI224" s="213"/>
      <c r="CJ224" s="213"/>
      <c r="CK224" s="213"/>
      <c r="CL224" s="213"/>
      <c r="CM224" s="213"/>
      <c r="CN224" s="213"/>
      <c r="CO224" s="213"/>
      <c r="CP224" s="213"/>
      <c r="CQ224" s="213"/>
      <c r="CR224" s="213"/>
      <c r="CS224" s="213"/>
      <c r="CT224" s="213"/>
      <c r="CU224" s="213"/>
      <c r="CV224" s="213"/>
      <c r="CW224" s="213"/>
      <c r="CX224" s="213"/>
      <c r="CY224" s="213"/>
      <c r="CZ224" s="214"/>
      <c r="DA224" s="214"/>
      <c r="DB224" s="214"/>
      <c r="DC224" s="214"/>
      <c r="DD224" s="214"/>
      <c r="DE224" s="214"/>
      <c r="DF224" s="214"/>
      <c r="DG224" s="214"/>
      <c r="DH224" s="214"/>
      <c r="DI224" s="214"/>
      <c r="DJ224" s="214"/>
      <c r="DK224" s="214"/>
      <c r="DL224" s="214"/>
      <c r="DM224" s="214"/>
    </row>
    <row r="225" spans="1:117" s="215" customFormat="1" ht="12.75">
      <c r="A225" s="259"/>
      <c r="B225" s="260"/>
      <c r="C225" s="261"/>
      <c r="D225" s="261"/>
      <c r="E225" s="261"/>
      <c r="F225" s="261"/>
      <c r="G225" s="193"/>
      <c r="H225" s="259"/>
      <c r="I225" s="193"/>
      <c r="J225" s="193"/>
      <c r="K225" s="193"/>
      <c r="L225" s="193"/>
      <c r="M225" s="193"/>
      <c r="N225" s="193"/>
      <c r="O225" s="193"/>
      <c r="P225" s="193"/>
      <c r="Q225" s="193"/>
      <c r="R225" s="193"/>
      <c r="S225" s="193"/>
      <c r="T225" s="193"/>
      <c r="U225" s="193"/>
      <c r="V225" s="193"/>
      <c r="W225" s="193"/>
      <c r="X225" s="262"/>
      <c r="Y225" s="262"/>
      <c r="Z225" s="193"/>
      <c r="AA225" s="193"/>
      <c r="AB225" s="193"/>
      <c r="AC225" s="193"/>
      <c r="AD225" s="263"/>
      <c r="AE225" s="263"/>
      <c r="AF225" s="263"/>
      <c r="AG225" s="263"/>
      <c r="AH225" s="263"/>
      <c r="AI225" s="263"/>
      <c r="AJ225" s="263"/>
      <c r="AK225" s="263"/>
      <c r="AL225" s="263"/>
      <c r="AM225" s="263"/>
      <c r="AN225" s="263"/>
      <c r="AO225" s="263"/>
      <c r="AP225" s="263"/>
      <c r="AQ225" s="264"/>
      <c r="AR225" s="264"/>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c r="CZ225" s="214"/>
      <c r="DA225" s="214"/>
      <c r="DB225" s="214"/>
      <c r="DC225" s="214"/>
      <c r="DD225" s="214"/>
      <c r="DE225" s="214"/>
      <c r="DF225" s="214"/>
      <c r="DG225" s="214"/>
      <c r="DH225" s="214"/>
      <c r="DI225" s="214"/>
      <c r="DJ225" s="214"/>
      <c r="DK225" s="214"/>
      <c r="DL225" s="214"/>
      <c r="DM225" s="214"/>
    </row>
    <row r="226" spans="1:117" s="215" customFormat="1" ht="12.75">
      <c r="A226" s="259"/>
      <c r="B226" s="260"/>
      <c r="C226" s="261"/>
      <c r="D226" s="261"/>
      <c r="E226" s="261"/>
      <c r="F226" s="261"/>
      <c r="G226" s="193"/>
      <c r="H226" s="259"/>
      <c r="I226" s="193"/>
      <c r="J226" s="193"/>
      <c r="K226" s="193"/>
      <c r="L226" s="193"/>
      <c r="M226" s="193"/>
      <c r="N226" s="193"/>
      <c r="O226" s="193"/>
      <c r="P226" s="193"/>
      <c r="Q226" s="193"/>
      <c r="R226" s="193"/>
      <c r="S226" s="193"/>
      <c r="T226" s="193"/>
      <c r="U226" s="193"/>
      <c r="V226" s="193"/>
      <c r="W226" s="193"/>
      <c r="X226" s="262"/>
      <c r="Y226" s="262"/>
      <c r="Z226" s="193"/>
      <c r="AA226" s="193"/>
      <c r="AB226" s="193"/>
      <c r="AC226" s="193"/>
      <c r="AD226" s="263"/>
      <c r="AE226" s="263"/>
      <c r="AF226" s="263"/>
      <c r="AG226" s="263"/>
      <c r="AH226" s="263"/>
      <c r="AI226" s="263"/>
      <c r="AJ226" s="263"/>
      <c r="AK226" s="263"/>
      <c r="AL226" s="263"/>
      <c r="AM226" s="263"/>
      <c r="AN226" s="263"/>
      <c r="AO226" s="263"/>
      <c r="AP226" s="263"/>
      <c r="AQ226" s="264"/>
      <c r="AR226" s="264"/>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c r="BZ226" s="213"/>
      <c r="CA226" s="213"/>
      <c r="CB226" s="213"/>
      <c r="CC226" s="213"/>
      <c r="CD226" s="213"/>
      <c r="CE226" s="213"/>
      <c r="CF226" s="213"/>
      <c r="CG226" s="213"/>
      <c r="CH226" s="213"/>
      <c r="CI226" s="213"/>
      <c r="CJ226" s="213"/>
      <c r="CK226" s="213"/>
      <c r="CL226" s="213"/>
      <c r="CM226" s="213"/>
      <c r="CN226" s="213"/>
      <c r="CO226" s="213"/>
      <c r="CP226" s="213"/>
      <c r="CQ226" s="213"/>
      <c r="CR226" s="213"/>
      <c r="CS226" s="213"/>
      <c r="CT226" s="213"/>
      <c r="CU226" s="213"/>
      <c r="CV226" s="213"/>
      <c r="CW226" s="213"/>
      <c r="CX226" s="213"/>
      <c r="CY226" s="213"/>
      <c r="CZ226" s="214"/>
      <c r="DA226" s="214"/>
      <c r="DB226" s="214"/>
      <c r="DC226" s="214"/>
      <c r="DD226" s="214"/>
      <c r="DE226" s="214"/>
      <c r="DF226" s="214"/>
      <c r="DG226" s="214"/>
      <c r="DH226" s="214"/>
      <c r="DI226" s="214"/>
      <c r="DJ226" s="214"/>
      <c r="DK226" s="214"/>
      <c r="DL226" s="214"/>
      <c r="DM226" s="214"/>
    </row>
    <row r="227" spans="1:117" s="215" customFormat="1" ht="12.75">
      <c r="A227" s="259"/>
      <c r="B227" s="260"/>
      <c r="C227" s="261"/>
      <c r="D227" s="261"/>
      <c r="E227" s="261"/>
      <c r="F227" s="261"/>
      <c r="G227" s="193"/>
      <c r="H227" s="259"/>
      <c r="I227" s="193"/>
      <c r="J227" s="193"/>
      <c r="K227" s="193"/>
      <c r="L227" s="193"/>
      <c r="M227" s="193"/>
      <c r="N227" s="193"/>
      <c r="O227" s="193"/>
      <c r="P227" s="193"/>
      <c r="Q227" s="193"/>
      <c r="R227" s="193"/>
      <c r="S227" s="193"/>
      <c r="T227" s="193"/>
      <c r="U227" s="193"/>
      <c r="V227" s="193"/>
      <c r="W227" s="193"/>
      <c r="X227" s="262"/>
      <c r="Y227" s="262"/>
      <c r="Z227" s="193"/>
      <c r="AA227" s="193"/>
      <c r="AB227" s="193"/>
      <c r="AC227" s="193"/>
      <c r="AD227" s="263"/>
      <c r="AE227" s="263"/>
      <c r="AF227" s="263"/>
      <c r="AG227" s="263"/>
      <c r="AH227" s="263"/>
      <c r="AI227" s="263"/>
      <c r="AJ227" s="263"/>
      <c r="AK227" s="263"/>
      <c r="AL227" s="263"/>
      <c r="AM227" s="263"/>
      <c r="AN227" s="263"/>
      <c r="AO227" s="263"/>
      <c r="AP227" s="263"/>
      <c r="AQ227" s="264"/>
      <c r="AR227" s="264"/>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c r="CF227" s="213"/>
      <c r="CG227" s="213"/>
      <c r="CH227" s="213"/>
      <c r="CI227" s="213"/>
      <c r="CJ227" s="213"/>
      <c r="CK227" s="213"/>
      <c r="CL227" s="213"/>
      <c r="CM227" s="213"/>
      <c r="CN227" s="213"/>
      <c r="CO227" s="213"/>
      <c r="CP227" s="213"/>
      <c r="CQ227" s="213"/>
      <c r="CR227" s="213"/>
      <c r="CS227" s="213"/>
      <c r="CT227" s="213"/>
      <c r="CU227" s="213"/>
      <c r="CV227" s="213"/>
      <c r="CW227" s="213"/>
      <c r="CX227" s="213"/>
      <c r="CY227" s="213"/>
      <c r="CZ227" s="214"/>
      <c r="DA227" s="214"/>
      <c r="DB227" s="214"/>
      <c r="DC227" s="214"/>
      <c r="DD227" s="214"/>
      <c r="DE227" s="214"/>
      <c r="DF227" s="214"/>
      <c r="DG227" s="214"/>
      <c r="DH227" s="214"/>
      <c r="DI227" s="214"/>
      <c r="DJ227" s="214"/>
      <c r="DK227" s="214"/>
      <c r="DL227" s="214"/>
      <c r="DM227" s="214"/>
    </row>
    <row r="228" spans="1:117" s="215" customFormat="1" ht="12.75">
      <c r="A228" s="259"/>
      <c r="B228" s="260"/>
      <c r="C228" s="261"/>
      <c r="D228" s="261"/>
      <c r="E228" s="261"/>
      <c r="F228" s="261"/>
      <c r="G228" s="193"/>
      <c r="H228" s="259"/>
      <c r="I228" s="193"/>
      <c r="J228" s="193"/>
      <c r="K228" s="193"/>
      <c r="L228" s="193"/>
      <c r="M228" s="193"/>
      <c r="N228" s="193"/>
      <c r="O228" s="193"/>
      <c r="P228" s="193"/>
      <c r="Q228" s="193"/>
      <c r="R228" s="193"/>
      <c r="S228" s="193"/>
      <c r="T228" s="193"/>
      <c r="U228" s="193"/>
      <c r="V228" s="193"/>
      <c r="W228" s="193"/>
      <c r="X228" s="262"/>
      <c r="Y228" s="262"/>
      <c r="Z228" s="193"/>
      <c r="AA228" s="193"/>
      <c r="AB228" s="193"/>
      <c r="AC228" s="193"/>
      <c r="AD228" s="263"/>
      <c r="AE228" s="263"/>
      <c r="AF228" s="263"/>
      <c r="AG228" s="263"/>
      <c r="AH228" s="263"/>
      <c r="AI228" s="263"/>
      <c r="AJ228" s="263"/>
      <c r="AK228" s="263"/>
      <c r="AL228" s="263"/>
      <c r="AM228" s="263"/>
      <c r="AN228" s="263"/>
      <c r="AO228" s="263"/>
      <c r="AP228" s="263"/>
      <c r="AQ228" s="264"/>
      <c r="AR228" s="264"/>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c r="BZ228" s="213"/>
      <c r="CA228" s="213"/>
      <c r="CB228" s="213"/>
      <c r="CC228" s="213"/>
      <c r="CD228" s="213"/>
      <c r="CE228" s="213"/>
      <c r="CF228" s="213"/>
      <c r="CG228" s="213"/>
      <c r="CH228" s="213"/>
      <c r="CI228" s="213"/>
      <c r="CJ228" s="213"/>
      <c r="CK228" s="213"/>
      <c r="CL228" s="213"/>
      <c r="CM228" s="213"/>
      <c r="CN228" s="213"/>
      <c r="CO228" s="213"/>
      <c r="CP228" s="213"/>
      <c r="CQ228" s="213"/>
      <c r="CR228" s="213"/>
      <c r="CS228" s="213"/>
      <c r="CT228" s="213"/>
      <c r="CU228" s="213"/>
      <c r="CV228" s="213"/>
      <c r="CW228" s="213"/>
      <c r="CX228" s="213"/>
      <c r="CY228" s="213"/>
      <c r="CZ228" s="214"/>
      <c r="DA228" s="214"/>
      <c r="DB228" s="214"/>
      <c r="DC228" s="214"/>
      <c r="DD228" s="214"/>
      <c r="DE228" s="214"/>
      <c r="DF228" s="214"/>
      <c r="DG228" s="214"/>
      <c r="DH228" s="214"/>
      <c r="DI228" s="214"/>
      <c r="DJ228" s="214"/>
      <c r="DK228" s="214"/>
      <c r="DL228" s="214"/>
      <c r="DM228" s="214"/>
    </row>
    <row r="229" spans="1:117" s="215" customFormat="1" ht="12.75">
      <c r="A229" s="259"/>
      <c r="B229" s="260"/>
      <c r="C229" s="261"/>
      <c r="D229" s="261"/>
      <c r="E229" s="261"/>
      <c r="F229" s="261"/>
      <c r="G229" s="193"/>
      <c r="H229" s="259"/>
      <c r="I229" s="193"/>
      <c r="J229" s="193"/>
      <c r="K229" s="193"/>
      <c r="L229" s="193"/>
      <c r="M229" s="193"/>
      <c r="N229" s="193"/>
      <c r="O229" s="193"/>
      <c r="P229" s="193"/>
      <c r="Q229" s="193"/>
      <c r="R229" s="193"/>
      <c r="S229" s="193"/>
      <c r="T229" s="193"/>
      <c r="U229" s="193"/>
      <c r="V229" s="193"/>
      <c r="W229" s="193"/>
      <c r="X229" s="262"/>
      <c r="Y229" s="262"/>
      <c r="Z229" s="193"/>
      <c r="AA229" s="193"/>
      <c r="AB229" s="193"/>
      <c r="AC229" s="193"/>
      <c r="AD229" s="263"/>
      <c r="AE229" s="263"/>
      <c r="AF229" s="263"/>
      <c r="AG229" s="263"/>
      <c r="AH229" s="263"/>
      <c r="AI229" s="263"/>
      <c r="AJ229" s="263"/>
      <c r="AK229" s="263"/>
      <c r="AL229" s="263"/>
      <c r="AM229" s="263"/>
      <c r="AN229" s="263"/>
      <c r="AO229" s="263"/>
      <c r="AP229" s="263"/>
      <c r="AQ229" s="264"/>
      <c r="AR229" s="264"/>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c r="BZ229" s="213"/>
      <c r="CA229" s="213"/>
      <c r="CB229" s="213"/>
      <c r="CC229" s="213"/>
      <c r="CD229" s="213"/>
      <c r="CE229" s="213"/>
      <c r="CF229" s="213"/>
      <c r="CG229" s="213"/>
      <c r="CH229" s="213"/>
      <c r="CI229" s="213"/>
      <c r="CJ229" s="213"/>
      <c r="CK229" s="213"/>
      <c r="CL229" s="213"/>
      <c r="CM229" s="213"/>
      <c r="CN229" s="213"/>
      <c r="CO229" s="213"/>
      <c r="CP229" s="213"/>
      <c r="CQ229" s="213"/>
      <c r="CR229" s="213"/>
      <c r="CS229" s="213"/>
      <c r="CT229" s="213"/>
      <c r="CU229" s="213"/>
      <c r="CV229" s="213"/>
      <c r="CW229" s="213"/>
      <c r="CX229" s="213"/>
      <c r="CY229" s="213"/>
      <c r="CZ229" s="214"/>
      <c r="DA229" s="214"/>
      <c r="DB229" s="214"/>
      <c r="DC229" s="214"/>
      <c r="DD229" s="214"/>
      <c r="DE229" s="214"/>
      <c r="DF229" s="214"/>
      <c r="DG229" s="214"/>
      <c r="DH229" s="214"/>
      <c r="DI229" s="214"/>
      <c r="DJ229" s="214"/>
      <c r="DK229" s="214"/>
      <c r="DL229" s="214"/>
      <c r="DM229" s="214"/>
    </row>
    <row r="230" spans="1:117" s="215" customFormat="1" ht="12.75">
      <c r="A230" s="259"/>
      <c r="B230" s="260"/>
      <c r="C230" s="261"/>
      <c r="D230" s="261"/>
      <c r="E230" s="261"/>
      <c r="F230" s="261"/>
      <c r="G230" s="193"/>
      <c r="H230" s="259"/>
      <c r="I230" s="193"/>
      <c r="J230" s="193"/>
      <c r="K230" s="193"/>
      <c r="L230" s="193"/>
      <c r="M230" s="193"/>
      <c r="N230" s="193"/>
      <c r="O230" s="193"/>
      <c r="P230" s="193"/>
      <c r="Q230" s="193"/>
      <c r="R230" s="193"/>
      <c r="S230" s="193"/>
      <c r="T230" s="193"/>
      <c r="U230" s="193"/>
      <c r="V230" s="193"/>
      <c r="W230" s="193"/>
      <c r="X230" s="262"/>
      <c r="Y230" s="262"/>
      <c r="Z230" s="193"/>
      <c r="AA230" s="193"/>
      <c r="AB230" s="193"/>
      <c r="AC230" s="193"/>
      <c r="AD230" s="263"/>
      <c r="AE230" s="263"/>
      <c r="AF230" s="263"/>
      <c r="AG230" s="263"/>
      <c r="AH230" s="263"/>
      <c r="AI230" s="263"/>
      <c r="AJ230" s="263"/>
      <c r="AK230" s="263"/>
      <c r="AL230" s="263"/>
      <c r="AM230" s="263"/>
      <c r="AN230" s="263"/>
      <c r="AO230" s="263"/>
      <c r="AP230" s="263"/>
      <c r="AQ230" s="264"/>
      <c r="AR230" s="264"/>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c r="BZ230" s="213"/>
      <c r="CA230" s="213"/>
      <c r="CB230" s="213"/>
      <c r="CC230" s="213"/>
      <c r="CD230" s="213"/>
      <c r="CE230" s="213"/>
      <c r="CF230" s="213"/>
      <c r="CG230" s="213"/>
      <c r="CH230" s="213"/>
      <c r="CI230" s="213"/>
      <c r="CJ230" s="213"/>
      <c r="CK230" s="213"/>
      <c r="CL230" s="213"/>
      <c r="CM230" s="213"/>
      <c r="CN230" s="213"/>
      <c r="CO230" s="213"/>
      <c r="CP230" s="213"/>
      <c r="CQ230" s="213"/>
      <c r="CR230" s="213"/>
      <c r="CS230" s="213"/>
      <c r="CT230" s="213"/>
      <c r="CU230" s="213"/>
      <c r="CV230" s="213"/>
      <c r="CW230" s="213"/>
      <c r="CX230" s="213"/>
      <c r="CY230" s="213"/>
      <c r="CZ230" s="214"/>
      <c r="DA230" s="214"/>
      <c r="DB230" s="214"/>
      <c r="DC230" s="214"/>
      <c r="DD230" s="214"/>
      <c r="DE230" s="214"/>
      <c r="DF230" s="214"/>
      <c r="DG230" s="214"/>
      <c r="DH230" s="214"/>
      <c r="DI230" s="214"/>
      <c r="DJ230" s="214"/>
      <c r="DK230" s="214"/>
      <c r="DL230" s="214"/>
      <c r="DM230" s="214"/>
    </row>
    <row r="231" spans="21:23" ht="15">
      <c r="U231" s="269"/>
      <c r="V231" s="269"/>
      <c r="W231" s="269"/>
    </row>
    <row r="232" spans="21:23" ht="15">
      <c r="U232" s="269"/>
      <c r="V232" s="269"/>
      <c r="W232" s="269"/>
    </row>
    <row r="233" spans="21:23" ht="15">
      <c r="U233" s="269"/>
      <c r="V233" s="269"/>
      <c r="W233" s="269"/>
    </row>
    <row r="234" spans="21:23" ht="15">
      <c r="U234" s="269"/>
      <c r="V234" s="269"/>
      <c r="W234" s="269"/>
    </row>
    <row r="235" spans="21:23" ht="15">
      <c r="U235" s="269"/>
      <c r="V235" s="269"/>
      <c r="W235" s="269"/>
    </row>
    <row r="236" spans="21:23" ht="15">
      <c r="U236" s="269"/>
      <c r="V236" s="269"/>
      <c r="W236" s="269"/>
    </row>
    <row r="237" spans="21:23" ht="15">
      <c r="U237" s="269"/>
      <c r="V237" s="269"/>
      <c r="W237" s="269"/>
    </row>
    <row r="238" spans="21:23" ht="15">
      <c r="U238" s="269"/>
      <c r="V238" s="269"/>
      <c r="W238" s="269"/>
    </row>
    <row r="239" spans="21:23" ht="15">
      <c r="U239" s="269"/>
      <c r="V239" s="269"/>
      <c r="W239" s="269"/>
    </row>
    <row r="240" spans="21:23" ht="15">
      <c r="U240" s="269"/>
      <c r="V240" s="269"/>
      <c r="W240" s="269"/>
    </row>
    <row r="241" spans="21:23" ht="15">
      <c r="U241" s="269"/>
      <c r="V241" s="269"/>
      <c r="W241" s="269"/>
    </row>
    <row r="242" spans="21:23" ht="15">
      <c r="U242" s="269"/>
      <c r="V242" s="269"/>
      <c r="W242" s="269"/>
    </row>
    <row r="243" spans="21:23" ht="15">
      <c r="U243" s="269"/>
      <c r="V243" s="269"/>
      <c r="W243" s="269"/>
    </row>
    <row r="244" spans="21:23" ht="15">
      <c r="U244" s="269"/>
      <c r="V244" s="269"/>
      <c r="W244" s="269"/>
    </row>
    <row r="245" spans="21:23" ht="15">
      <c r="U245" s="269"/>
      <c r="V245" s="269"/>
      <c r="W245" s="269"/>
    </row>
    <row r="246" spans="21:23" ht="15">
      <c r="U246" s="269"/>
      <c r="V246" s="269"/>
      <c r="W246" s="269"/>
    </row>
    <row r="247" spans="21:23" ht="15">
      <c r="U247" s="269"/>
      <c r="V247" s="269"/>
      <c r="W247" s="269"/>
    </row>
    <row r="248" spans="21:23" ht="15">
      <c r="U248" s="269"/>
      <c r="V248" s="269"/>
      <c r="W248" s="269"/>
    </row>
    <row r="249" spans="21:23" ht="15">
      <c r="U249" s="269"/>
      <c r="V249" s="269"/>
      <c r="W249" s="269"/>
    </row>
    <row r="250" spans="21:23" ht="15">
      <c r="U250" s="269"/>
      <c r="V250" s="269"/>
      <c r="W250" s="269"/>
    </row>
    <row r="251" spans="21:23" ht="15">
      <c r="U251" s="269"/>
      <c r="V251" s="269"/>
      <c r="W251" s="269"/>
    </row>
    <row r="252" spans="21:23" ht="15">
      <c r="U252" s="269"/>
      <c r="V252" s="269"/>
      <c r="W252" s="269"/>
    </row>
    <row r="253" spans="21:23" ht="15">
      <c r="U253" s="269"/>
      <c r="V253" s="269"/>
      <c r="W253" s="269"/>
    </row>
    <row r="254" spans="21:23" ht="15">
      <c r="U254" s="269"/>
      <c r="V254" s="269"/>
      <c r="W254" s="269"/>
    </row>
    <row r="255" spans="21:23" ht="15">
      <c r="U255" s="269"/>
      <c r="V255" s="269"/>
      <c r="W255" s="269"/>
    </row>
    <row r="256" spans="21:23" ht="15">
      <c r="U256" s="269"/>
      <c r="V256" s="269"/>
      <c r="W256" s="269"/>
    </row>
    <row r="257" spans="21:23" ht="15">
      <c r="U257" s="269"/>
      <c r="V257" s="269"/>
      <c r="W257" s="269"/>
    </row>
    <row r="258" spans="21:23" ht="15">
      <c r="U258" s="269"/>
      <c r="V258" s="269"/>
      <c r="W258" s="269"/>
    </row>
    <row r="259" spans="21:23" ht="15">
      <c r="U259" s="269"/>
      <c r="V259" s="269"/>
      <c r="W259" s="269"/>
    </row>
    <row r="260" spans="21:23" ht="15">
      <c r="U260" s="269"/>
      <c r="V260" s="269"/>
      <c r="W260" s="269"/>
    </row>
    <row r="261" spans="21:23" ht="15">
      <c r="U261" s="269"/>
      <c r="V261" s="269"/>
      <c r="W261" s="269"/>
    </row>
    <row r="262" spans="21:23" ht="15">
      <c r="U262" s="269"/>
      <c r="V262" s="269"/>
      <c r="W262" s="269"/>
    </row>
    <row r="263" spans="21:23" ht="15">
      <c r="U263" s="269"/>
      <c r="V263" s="269"/>
      <c r="W263" s="269"/>
    </row>
    <row r="264" spans="21:23" ht="15">
      <c r="U264" s="269"/>
      <c r="V264" s="269"/>
      <c r="W264" s="269"/>
    </row>
    <row r="265" spans="21:23" ht="15">
      <c r="U265" s="269"/>
      <c r="V265" s="269"/>
      <c r="W265" s="269"/>
    </row>
    <row r="266" spans="21:23" ht="15">
      <c r="U266" s="269"/>
      <c r="V266" s="269"/>
      <c r="W266" s="269"/>
    </row>
    <row r="267" spans="21:23" ht="15">
      <c r="U267" s="269"/>
      <c r="V267" s="269"/>
      <c r="W267" s="269"/>
    </row>
    <row r="268" spans="21:23" ht="15">
      <c r="U268" s="269"/>
      <c r="V268" s="269"/>
      <c r="W268" s="269"/>
    </row>
    <row r="269" spans="21:23" ht="15">
      <c r="U269" s="269"/>
      <c r="V269" s="269"/>
      <c r="W269" s="269"/>
    </row>
    <row r="270" spans="21:23" ht="15">
      <c r="U270" s="269"/>
      <c r="V270" s="269"/>
      <c r="W270" s="269"/>
    </row>
    <row r="271" spans="21:23" ht="15">
      <c r="U271" s="269"/>
      <c r="V271" s="269"/>
      <c r="W271" s="269"/>
    </row>
    <row r="272" spans="21:23" ht="15">
      <c r="U272" s="269"/>
      <c r="V272" s="269"/>
      <c r="W272" s="269"/>
    </row>
    <row r="273" spans="21:23" ht="15">
      <c r="U273" s="269"/>
      <c r="V273" s="269"/>
      <c r="W273" s="269"/>
    </row>
    <row r="274" spans="21:23" ht="15">
      <c r="U274" s="269"/>
      <c r="V274" s="269"/>
      <c r="W274" s="269"/>
    </row>
    <row r="275" spans="21:23" ht="15">
      <c r="U275" s="269"/>
      <c r="V275" s="269"/>
      <c r="W275" s="269"/>
    </row>
    <row r="276" spans="21:23" ht="15">
      <c r="U276" s="269"/>
      <c r="V276" s="269"/>
      <c r="W276" s="269"/>
    </row>
    <row r="277" spans="21:23" ht="15">
      <c r="U277" s="269"/>
      <c r="V277" s="269"/>
      <c r="W277" s="269"/>
    </row>
    <row r="278" spans="21:23" ht="15">
      <c r="U278" s="269"/>
      <c r="V278" s="269"/>
      <c r="W278" s="269"/>
    </row>
    <row r="279" spans="21:23" ht="15">
      <c r="U279" s="269"/>
      <c r="V279" s="269"/>
      <c r="W279" s="269"/>
    </row>
    <row r="280" spans="21:23" ht="15">
      <c r="U280" s="269"/>
      <c r="V280" s="269"/>
      <c r="W280" s="269"/>
    </row>
    <row r="281" spans="21:23" ht="15">
      <c r="U281" s="269"/>
      <c r="V281" s="269"/>
      <c r="W281" s="269"/>
    </row>
    <row r="282" spans="21:23" ht="15">
      <c r="U282" s="269"/>
      <c r="V282" s="269"/>
      <c r="W282" s="269"/>
    </row>
    <row r="283" spans="21:23" ht="15">
      <c r="U283" s="269"/>
      <c r="V283" s="269"/>
      <c r="W283" s="269"/>
    </row>
    <row r="284" spans="21:23" ht="15">
      <c r="U284" s="269"/>
      <c r="V284" s="269"/>
      <c r="W284" s="269"/>
    </row>
    <row r="285" spans="21:23" ht="15">
      <c r="U285" s="269"/>
      <c r="V285" s="269"/>
      <c r="W285" s="269"/>
    </row>
    <row r="286" spans="21:23" ht="15">
      <c r="U286" s="269"/>
      <c r="V286" s="269"/>
      <c r="W286" s="269"/>
    </row>
    <row r="287" spans="21:23" ht="15">
      <c r="U287" s="269"/>
      <c r="V287" s="269"/>
      <c r="W287" s="269"/>
    </row>
    <row r="288" spans="21:23" ht="15">
      <c r="U288" s="269"/>
      <c r="V288" s="269"/>
      <c r="W288" s="269"/>
    </row>
    <row r="289" spans="21:23" ht="15">
      <c r="U289" s="269"/>
      <c r="V289" s="269"/>
      <c r="W289" s="269"/>
    </row>
    <row r="290" spans="21:23" ht="15">
      <c r="U290" s="269"/>
      <c r="V290" s="269"/>
      <c r="W290" s="269"/>
    </row>
    <row r="291" spans="21:23" ht="15">
      <c r="U291" s="269"/>
      <c r="V291" s="269"/>
      <c r="W291" s="269"/>
    </row>
    <row r="292" spans="21:23" ht="15">
      <c r="U292" s="269"/>
      <c r="V292" s="269"/>
      <c r="W292" s="269"/>
    </row>
    <row r="293" spans="21:23" ht="15">
      <c r="U293" s="269"/>
      <c r="V293" s="269"/>
      <c r="W293" s="269"/>
    </row>
    <row r="294" spans="21:23" ht="15">
      <c r="U294" s="269"/>
      <c r="V294" s="269"/>
      <c r="W294" s="269"/>
    </row>
    <row r="295" spans="21:23" ht="15">
      <c r="U295" s="269"/>
      <c r="V295" s="269"/>
      <c r="W295" s="269"/>
    </row>
    <row r="296" spans="21:23" ht="15">
      <c r="U296" s="269"/>
      <c r="V296" s="269"/>
      <c r="W296" s="269"/>
    </row>
    <row r="297" spans="21:23" ht="15">
      <c r="U297" s="269"/>
      <c r="V297" s="269"/>
      <c r="W297" s="269"/>
    </row>
    <row r="298" spans="21:23" ht="15">
      <c r="U298" s="269"/>
      <c r="V298" s="269"/>
      <c r="W298" s="269"/>
    </row>
    <row r="299" spans="21:23" ht="15">
      <c r="U299" s="269"/>
      <c r="V299" s="269"/>
      <c r="W299" s="269"/>
    </row>
    <row r="300" spans="21:23" ht="15">
      <c r="U300" s="269"/>
      <c r="V300" s="269"/>
      <c r="W300" s="269"/>
    </row>
    <row r="301" spans="21:23" ht="15">
      <c r="U301" s="269"/>
      <c r="V301" s="269"/>
      <c r="W301" s="269"/>
    </row>
    <row r="302" spans="21:23" ht="15">
      <c r="U302" s="269"/>
      <c r="V302" s="269"/>
      <c r="W302" s="269"/>
    </row>
    <row r="303" spans="21:23" ht="15">
      <c r="U303" s="269"/>
      <c r="V303" s="269"/>
      <c r="W303" s="269"/>
    </row>
    <row r="304" spans="21:23" ht="15">
      <c r="U304" s="269"/>
      <c r="V304" s="269"/>
      <c r="W304" s="269"/>
    </row>
    <row r="305" spans="21:23" ht="15">
      <c r="U305" s="269"/>
      <c r="V305" s="269"/>
      <c r="W305" s="269"/>
    </row>
    <row r="306" spans="21:23" ht="15">
      <c r="U306" s="269"/>
      <c r="V306" s="269"/>
      <c r="W306" s="269"/>
    </row>
    <row r="307" spans="21:23" ht="15">
      <c r="U307" s="269"/>
      <c r="V307" s="269"/>
      <c r="W307" s="269"/>
    </row>
    <row r="308" spans="21:23" ht="15">
      <c r="U308" s="269"/>
      <c r="V308" s="269"/>
      <c r="W308" s="269"/>
    </row>
    <row r="309" spans="21:23" ht="15">
      <c r="U309" s="269"/>
      <c r="V309" s="269"/>
      <c r="W309" s="269"/>
    </row>
    <row r="310" spans="21:23" ht="15">
      <c r="U310" s="269"/>
      <c r="V310" s="269"/>
      <c r="W310" s="269"/>
    </row>
    <row r="311" spans="21:23" ht="15">
      <c r="U311" s="269"/>
      <c r="V311" s="269"/>
      <c r="W311" s="269"/>
    </row>
    <row r="312" spans="21:23" ht="15">
      <c r="U312" s="269"/>
      <c r="V312" s="269"/>
      <c r="W312" s="269"/>
    </row>
    <row r="313" spans="21:23" ht="15">
      <c r="U313" s="269"/>
      <c r="V313" s="269"/>
      <c r="W313" s="269"/>
    </row>
    <row r="314" spans="21:23" ht="15">
      <c r="U314" s="269"/>
      <c r="V314" s="269"/>
      <c r="W314" s="269"/>
    </row>
    <row r="315" spans="21:23" ht="15">
      <c r="U315" s="269"/>
      <c r="V315" s="269"/>
      <c r="W315" s="269"/>
    </row>
    <row r="316" spans="21:23" ht="15">
      <c r="U316" s="269"/>
      <c r="V316" s="269"/>
      <c r="W316" s="269"/>
    </row>
    <row r="317" spans="21:23" ht="15">
      <c r="U317" s="269"/>
      <c r="V317" s="269"/>
      <c r="W317" s="269"/>
    </row>
    <row r="318" spans="21:23" ht="15">
      <c r="U318" s="269"/>
      <c r="V318" s="269"/>
      <c r="W318" s="269"/>
    </row>
    <row r="319" spans="21:23" ht="15">
      <c r="U319" s="269"/>
      <c r="V319" s="269"/>
      <c r="W319" s="269"/>
    </row>
    <row r="320" spans="21:23" ht="15">
      <c r="U320" s="269"/>
      <c r="V320" s="269"/>
      <c r="W320" s="269"/>
    </row>
    <row r="321" spans="21:23" ht="15">
      <c r="U321" s="269"/>
      <c r="V321" s="269"/>
      <c r="W321" s="269"/>
    </row>
    <row r="322" spans="21:23" ht="15">
      <c r="U322" s="269"/>
      <c r="V322" s="269"/>
      <c r="W322" s="269"/>
    </row>
    <row r="323" spans="21:23" ht="15">
      <c r="U323" s="269"/>
      <c r="V323" s="269"/>
      <c r="W323" s="269"/>
    </row>
    <row r="324" spans="21:23" ht="15">
      <c r="U324" s="269"/>
      <c r="V324" s="269"/>
      <c r="W324" s="269"/>
    </row>
    <row r="325" spans="21:23" ht="15">
      <c r="U325" s="269"/>
      <c r="V325" s="269"/>
      <c r="W325" s="269"/>
    </row>
    <row r="326" spans="21:23" ht="15">
      <c r="U326" s="269"/>
      <c r="V326" s="269"/>
      <c r="W326" s="269"/>
    </row>
    <row r="327" spans="21:23" ht="15">
      <c r="U327" s="269"/>
      <c r="V327" s="269"/>
      <c r="W327" s="269"/>
    </row>
    <row r="328" spans="21:23" ht="15">
      <c r="U328" s="269"/>
      <c r="V328" s="269"/>
      <c r="W328" s="269"/>
    </row>
    <row r="329" spans="21:23" ht="15">
      <c r="U329" s="269"/>
      <c r="V329" s="269"/>
      <c r="W329" s="269"/>
    </row>
    <row r="330" spans="21:23" ht="15">
      <c r="U330" s="269"/>
      <c r="V330" s="269"/>
      <c r="W330" s="269"/>
    </row>
    <row r="331" spans="21:23" ht="15">
      <c r="U331" s="269"/>
      <c r="V331" s="269"/>
      <c r="W331" s="269"/>
    </row>
    <row r="332" spans="21:23" ht="15">
      <c r="U332" s="269"/>
      <c r="V332" s="269"/>
      <c r="W332" s="269"/>
    </row>
    <row r="333" spans="21:23" ht="15">
      <c r="U333" s="269"/>
      <c r="V333" s="269"/>
      <c r="W333" s="269"/>
    </row>
    <row r="334" spans="21:23" ht="15">
      <c r="U334" s="269"/>
      <c r="V334" s="269"/>
      <c r="W334" s="269"/>
    </row>
    <row r="335" spans="21:23" ht="15">
      <c r="U335" s="269"/>
      <c r="V335" s="269"/>
      <c r="W335" s="269"/>
    </row>
    <row r="336" spans="21:23" ht="15">
      <c r="U336" s="269"/>
      <c r="V336" s="269"/>
      <c r="W336" s="269"/>
    </row>
    <row r="337" spans="21:23" ht="15">
      <c r="U337" s="269"/>
      <c r="V337" s="269"/>
      <c r="W337" s="269"/>
    </row>
    <row r="338" spans="21:23" ht="15">
      <c r="U338" s="269"/>
      <c r="V338" s="269"/>
      <c r="W338" s="269"/>
    </row>
    <row r="339" spans="21:23" ht="15">
      <c r="U339" s="269"/>
      <c r="V339" s="269"/>
      <c r="W339" s="269"/>
    </row>
    <row r="340" spans="21:23" ht="15">
      <c r="U340" s="269"/>
      <c r="V340" s="269"/>
      <c r="W340" s="269"/>
    </row>
    <row r="341" spans="21:23" ht="15">
      <c r="U341" s="269"/>
      <c r="V341" s="269"/>
      <c r="W341" s="269"/>
    </row>
    <row r="342" spans="21:23" ht="15">
      <c r="U342" s="269"/>
      <c r="V342" s="269"/>
      <c r="W342" s="269"/>
    </row>
    <row r="343" spans="21:23" ht="15">
      <c r="U343" s="269"/>
      <c r="V343" s="269"/>
      <c r="W343" s="269"/>
    </row>
    <row r="344" spans="21:23" ht="15">
      <c r="U344" s="269"/>
      <c r="V344" s="269"/>
      <c r="W344" s="269"/>
    </row>
    <row r="345" spans="21:23" ht="15">
      <c r="U345" s="269"/>
      <c r="V345" s="269"/>
      <c r="W345" s="269"/>
    </row>
    <row r="346" spans="21:23" ht="15">
      <c r="U346" s="269"/>
      <c r="V346" s="269"/>
      <c r="W346" s="269"/>
    </row>
    <row r="347" spans="21:23" ht="15">
      <c r="U347" s="269"/>
      <c r="V347" s="269"/>
      <c r="W347" s="269"/>
    </row>
    <row r="348" spans="21:23" ht="15">
      <c r="U348" s="269"/>
      <c r="V348" s="269"/>
      <c r="W348" s="269"/>
    </row>
    <row r="349" spans="21:23" ht="15">
      <c r="U349" s="269"/>
      <c r="V349" s="269"/>
      <c r="W349" s="269"/>
    </row>
    <row r="350" spans="21:23" ht="15">
      <c r="U350" s="269"/>
      <c r="V350" s="269"/>
      <c r="W350" s="269"/>
    </row>
    <row r="351" spans="21:23" ht="15">
      <c r="U351" s="269"/>
      <c r="V351" s="269"/>
      <c r="W351" s="269"/>
    </row>
    <row r="352" spans="21:23" ht="15">
      <c r="U352" s="269"/>
      <c r="V352" s="269"/>
      <c r="W352" s="269"/>
    </row>
    <row r="353" spans="21:23" ht="15">
      <c r="U353" s="269"/>
      <c r="V353" s="269"/>
      <c r="W353" s="269"/>
    </row>
    <row r="354" spans="21:23" ht="15">
      <c r="U354" s="269"/>
      <c r="V354" s="269"/>
      <c r="W354" s="269"/>
    </row>
    <row r="355" spans="21:23" ht="15">
      <c r="U355" s="269"/>
      <c r="V355" s="269"/>
      <c r="W355" s="269"/>
    </row>
    <row r="356" spans="21:23" ht="15">
      <c r="U356" s="269"/>
      <c r="V356" s="269"/>
      <c r="W356" s="269"/>
    </row>
    <row r="357" spans="21:23" ht="15">
      <c r="U357" s="269"/>
      <c r="V357" s="269"/>
      <c r="W357" s="269"/>
    </row>
    <row r="358" spans="21:23" ht="15">
      <c r="U358" s="269"/>
      <c r="V358" s="269"/>
      <c r="W358" s="269"/>
    </row>
    <row r="359" spans="21:23" ht="15">
      <c r="U359" s="269"/>
      <c r="V359" s="269"/>
      <c r="W359" s="269"/>
    </row>
    <row r="360" spans="21:23" ht="15">
      <c r="U360" s="269"/>
      <c r="V360" s="269"/>
      <c r="W360" s="269"/>
    </row>
    <row r="361" spans="21:23" ht="15">
      <c r="U361" s="269"/>
      <c r="V361" s="269"/>
      <c r="W361" s="269"/>
    </row>
    <row r="362" spans="21:23" ht="15">
      <c r="U362" s="269"/>
      <c r="V362" s="269"/>
      <c r="W362" s="269"/>
    </row>
    <row r="363" spans="21:23" ht="15">
      <c r="U363" s="269"/>
      <c r="V363" s="269"/>
      <c r="W363" s="269"/>
    </row>
    <row r="364" spans="21:23" ht="15">
      <c r="U364" s="269"/>
      <c r="V364" s="269"/>
      <c r="W364" s="269"/>
    </row>
    <row r="365" spans="21:23" ht="15">
      <c r="U365" s="269"/>
      <c r="V365" s="269"/>
      <c r="W365" s="269"/>
    </row>
    <row r="366" spans="21:23" ht="15">
      <c r="U366" s="269"/>
      <c r="V366" s="269"/>
      <c r="W366" s="269"/>
    </row>
    <row r="367" spans="21:23" ht="15">
      <c r="U367" s="269"/>
      <c r="V367" s="269"/>
      <c r="W367" s="269"/>
    </row>
    <row r="368" spans="21:23" ht="15">
      <c r="U368" s="269"/>
      <c r="V368" s="269"/>
      <c r="W368" s="269"/>
    </row>
    <row r="369" spans="21:23" ht="15">
      <c r="U369" s="269"/>
      <c r="V369" s="269"/>
      <c r="W369" s="269"/>
    </row>
    <row r="370" spans="21:23" ht="15">
      <c r="U370" s="269"/>
      <c r="V370" s="269"/>
      <c r="W370" s="269"/>
    </row>
    <row r="371" spans="21:23" ht="15">
      <c r="U371" s="269"/>
      <c r="V371" s="269"/>
      <c r="W371" s="269"/>
    </row>
    <row r="372" spans="21:23" ht="15">
      <c r="U372" s="269"/>
      <c r="V372" s="269"/>
      <c r="W372" s="269"/>
    </row>
    <row r="373" spans="21:23" ht="15">
      <c r="U373" s="269"/>
      <c r="V373" s="269"/>
      <c r="W373" s="269"/>
    </row>
    <row r="374" spans="21:23" ht="15">
      <c r="U374" s="269"/>
      <c r="V374" s="269"/>
      <c r="W374" s="269"/>
    </row>
    <row r="375" spans="21:23" ht="15">
      <c r="U375" s="269"/>
      <c r="V375" s="269"/>
      <c r="W375" s="269"/>
    </row>
    <row r="376" spans="21:23" ht="15">
      <c r="U376" s="269"/>
      <c r="V376" s="269"/>
      <c r="W376" s="269"/>
    </row>
    <row r="377" spans="21:23" ht="15">
      <c r="U377" s="269"/>
      <c r="V377" s="269"/>
      <c r="W377" s="269"/>
    </row>
    <row r="378" spans="21:23" ht="15">
      <c r="U378" s="269"/>
      <c r="V378" s="269"/>
      <c r="W378" s="269"/>
    </row>
    <row r="379" spans="21:23" ht="15">
      <c r="U379" s="269"/>
      <c r="V379" s="269"/>
      <c r="W379" s="269"/>
    </row>
    <row r="380" spans="21:23" ht="15">
      <c r="U380" s="269"/>
      <c r="V380" s="269"/>
      <c r="W380" s="269"/>
    </row>
    <row r="381" spans="21:23" ht="15">
      <c r="U381" s="269"/>
      <c r="V381" s="269"/>
      <c r="W381" s="269"/>
    </row>
    <row r="382" spans="21:23" ht="15">
      <c r="U382" s="269"/>
      <c r="V382" s="269"/>
      <c r="W382" s="269"/>
    </row>
    <row r="383" spans="21:23" ht="15">
      <c r="U383" s="269"/>
      <c r="V383" s="269"/>
      <c r="W383" s="269"/>
    </row>
    <row r="384" spans="21:23" ht="15">
      <c r="U384" s="269"/>
      <c r="V384" s="269"/>
      <c r="W384" s="269"/>
    </row>
    <row r="385" spans="21:23" ht="15">
      <c r="U385" s="269"/>
      <c r="V385" s="269"/>
      <c r="W385" s="269"/>
    </row>
    <row r="386" spans="21:23" ht="15">
      <c r="U386" s="269"/>
      <c r="V386" s="269"/>
      <c r="W386" s="269"/>
    </row>
    <row r="387" spans="21:23" ht="15">
      <c r="U387" s="269"/>
      <c r="V387" s="269"/>
      <c r="W387" s="269"/>
    </row>
    <row r="388" spans="21:23" ht="15">
      <c r="U388" s="269"/>
      <c r="V388" s="269"/>
      <c r="W388" s="269"/>
    </row>
    <row r="389" spans="21:23" ht="15">
      <c r="U389" s="269"/>
      <c r="V389" s="269"/>
      <c r="W389" s="269"/>
    </row>
    <row r="390" spans="21:23" ht="15">
      <c r="U390" s="269"/>
      <c r="V390" s="269"/>
      <c r="W390" s="269"/>
    </row>
    <row r="391" spans="21:23" ht="15">
      <c r="U391" s="269"/>
      <c r="V391" s="269"/>
      <c r="W391" s="269"/>
    </row>
    <row r="392" spans="21:23" ht="15">
      <c r="U392" s="269"/>
      <c r="V392" s="269"/>
      <c r="W392" s="269"/>
    </row>
    <row r="393" spans="21:23" ht="15">
      <c r="U393" s="269"/>
      <c r="V393" s="269"/>
      <c r="W393" s="269"/>
    </row>
    <row r="394" spans="21:23" ht="15">
      <c r="U394" s="269"/>
      <c r="V394" s="269"/>
      <c r="W394" s="269"/>
    </row>
    <row r="395" spans="21:23" ht="15">
      <c r="U395" s="269"/>
      <c r="V395" s="269"/>
      <c r="W395" s="269"/>
    </row>
    <row r="396" spans="21:23" ht="15">
      <c r="U396" s="269"/>
      <c r="V396" s="269"/>
      <c r="W396" s="269"/>
    </row>
    <row r="397" spans="21:23" ht="15">
      <c r="U397" s="269"/>
      <c r="V397" s="269"/>
      <c r="W397" s="269"/>
    </row>
    <row r="398" spans="21:23" ht="15">
      <c r="U398" s="269"/>
      <c r="V398" s="269"/>
      <c r="W398" s="269"/>
    </row>
    <row r="399" spans="21:23" ht="15">
      <c r="U399" s="269"/>
      <c r="V399" s="269"/>
      <c r="W399" s="269"/>
    </row>
    <row r="400" spans="21:23" ht="15">
      <c r="U400" s="269"/>
      <c r="V400" s="269"/>
      <c r="W400" s="269"/>
    </row>
    <row r="401" spans="21:23" ht="15">
      <c r="U401" s="269"/>
      <c r="V401" s="269"/>
      <c r="W401" s="269"/>
    </row>
    <row r="402" spans="21:23" ht="15">
      <c r="U402" s="269"/>
      <c r="V402" s="269"/>
      <c r="W402" s="269"/>
    </row>
    <row r="403" spans="21:23" ht="15">
      <c r="U403" s="269"/>
      <c r="V403" s="269"/>
      <c r="W403" s="269"/>
    </row>
    <row r="404" spans="21:23" ht="15">
      <c r="U404" s="269"/>
      <c r="V404" s="269"/>
      <c r="W404" s="269"/>
    </row>
    <row r="405" spans="21:23" ht="15">
      <c r="U405" s="269"/>
      <c r="V405" s="269"/>
      <c r="W405" s="269"/>
    </row>
    <row r="406" spans="21:23" ht="15">
      <c r="U406" s="269"/>
      <c r="V406" s="269"/>
      <c r="W406" s="269"/>
    </row>
    <row r="407" spans="21:23" ht="15">
      <c r="U407" s="269"/>
      <c r="V407" s="269"/>
      <c r="W407" s="269"/>
    </row>
    <row r="408" spans="21:23" ht="15">
      <c r="U408" s="269"/>
      <c r="V408" s="269"/>
      <c r="W408" s="269"/>
    </row>
    <row r="409" spans="21:23" ht="15">
      <c r="U409" s="269"/>
      <c r="V409" s="269"/>
      <c r="W409" s="269"/>
    </row>
    <row r="410" spans="21:23" ht="15">
      <c r="U410" s="269"/>
      <c r="V410" s="269"/>
      <c r="W410" s="269"/>
    </row>
    <row r="411" spans="21:23" ht="15">
      <c r="U411" s="269"/>
      <c r="V411" s="269"/>
      <c r="W411" s="269"/>
    </row>
    <row r="412" spans="21:23" ht="15">
      <c r="U412" s="269"/>
      <c r="V412" s="269"/>
      <c r="W412" s="269"/>
    </row>
    <row r="413" spans="21:23" ht="15">
      <c r="U413" s="269"/>
      <c r="V413" s="269"/>
      <c r="W413" s="269"/>
    </row>
    <row r="414" spans="21:23" ht="15">
      <c r="U414" s="269"/>
      <c r="V414" s="269"/>
      <c r="W414" s="269"/>
    </row>
    <row r="415" spans="21:23" ht="15">
      <c r="U415" s="269"/>
      <c r="V415" s="269"/>
      <c r="W415" s="269"/>
    </row>
    <row r="416" spans="21:23" ht="15">
      <c r="U416" s="269"/>
      <c r="V416" s="269"/>
      <c r="W416" s="269"/>
    </row>
    <row r="417" spans="21:23" ht="15">
      <c r="U417" s="269"/>
      <c r="V417" s="269"/>
      <c r="W417" s="269"/>
    </row>
    <row r="418" spans="21:23" ht="15">
      <c r="U418" s="269"/>
      <c r="V418" s="269"/>
      <c r="W418" s="269"/>
    </row>
    <row r="419" spans="21:23" ht="15">
      <c r="U419" s="269"/>
      <c r="V419" s="269"/>
      <c r="W419" s="269"/>
    </row>
    <row r="420" spans="21:23" ht="15">
      <c r="U420" s="269"/>
      <c r="V420" s="269"/>
      <c r="W420" s="269"/>
    </row>
    <row r="421" spans="21:23" ht="15">
      <c r="U421" s="269"/>
      <c r="V421" s="269"/>
      <c r="W421" s="269"/>
    </row>
    <row r="422" spans="21:23" ht="15">
      <c r="U422" s="269"/>
      <c r="V422" s="269"/>
      <c r="W422" s="269"/>
    </row>
    <row r="423" spans="21:23" ht="15">
      <c r="U423" s="269"/>
      <c r="V423" s="269"/>
      <c r="W423" s="269"/>
    </row>
    <row r="424" spans="21:23" ht="15">
      <c r="U424" s="269"/>
      <c r="V424" s="269"/>
      <c r="W424" s="269"/>
    </row>
    <row r="425" spans="21:23" ht="15">
      <c r="U425" s="269"/>
      <c r="V425" s="269"/>
      <c r="W425" s="269"/>
    </row>
    <row r="426" spans="21:23" ht="15">
      <c r="U426" s="269"/>
      <c r="V426" s="269"/>
      <c r="W426" s="269"/>
    </row>
    <row r="427" spans="21:23" ht="15">
      <c r="U427" s="269"/>
      <c r="V427" s="269"/>
      <c r="W427" s="269"/>
    </row>
    <row r="428" spans="21:23" ht="15">
      <c r="U428" s="269"/>
      <c r="V428" s="269"/>
      <c r="W428" s="269"/>
    </row>
    <row r="429" spans="21:23" ht="15">
      <c r="U429" s="269"/>
      <c r="V429" s="269"/>
      <c r="W429" s="269"/>
    </row>
    <row r="430" spans="21:23" ht="15">
      <c r="U430" s="269"/>
      <c r="V430" s="269"/>
      <c r="W430" s="269"/>
    </row>
    <row r="431" spans="21:23" ht="15">
      <c r="U431" s="269"/>
      <c r="V431" s="269"/>
      <c r="W431" s="269"/>
    </row>
    <row r="432" spans="21:23" ht="15">
      <c r="U432" s="269"/>
      <c r="V432" s="269"/>
      <c r="W432" s="269"/>
    </row>
    <row r="433" spans="21:23" ht="15">
      <c r="U433" s="269"/>
      <c r="V433" s="269"/>
      <c r="W433" s="269"/>
    </row>
    <row r="434" spans="21:23" ht="15">
      <c r="U434" s="269"/>
      <c r="V434" s="269"/>
      <c r="W434" s="269"/>
    </row>
    <row r="435" spans="21:23" ht="15">
      <c r="U435" s="269"/>
      <c r="V435" s="269"/>
      <c r="W435" s="269"/>
    </row>
    <row r="436" spans="21:23" ht="15">
      <c r="U436" s="269"/>
      <c r="V436" s="269"/>
      <c r="W436" s="269"/>
    </row>
    <row r="437" spans="21:23" ht="15">
      <c r="U437" s="269"/>
      <c r="V437" s="269"/>
      <c r="W437" s="269"/>
    </row>
    <row r="438" spans="21:23" ht="15">
      <c r="U438" s="269"/>
      <c r="V438" s="269"/>
      <c r="W438" s="269"/>
    </row>
    <row r="439" spans="21:23" ht="15">
      <c r="U439" s="269"/>
      <c r="V439" s="269"/>
      <c r="W439" s="269"/>
    </row>
    <row r="440" spans="21:23" ht="15">
      <c r="U440" s="269"/>
      <c r="V440" s="269"/>
      <c r="W440" s="269"/>
    </row>
    <row r="441" spans="21:23" ht="15">
      <c r="U441" s="269"/>
      <c r="V441" s="269"/>
      <c r="W441" s="269"/>
    </row>
    <row r="442" spans="21:23" ht="15">
      <c r="U442" s="269"/>
      <c r="V442" s="269"/>
      <c r="W442" s="269"/>
    </row>
    <row r="443" spans="21:23" ht="15">
      <c r="U443" s="269"/>
      <c r="V443" s="269"/>
      <c r="W443" s="269"/>
    </row>
    <row r="444" spans="21:23" ht="15">
      <c r="U444" s="269"/>
      <c r="V444" s="269"/>
      <c r="W444" s="269"/>
    </row>
    <row r="445" spans="21:23" ht="15">
      <c r="U445" s="269"/>
      <c r="V445" s="269"/>
      <c r="W445" s="269"/>
    </row>
    <row r="446" spans="21:23" ht="15">
      <c r="U446" s="269"/>
      <c r="V446" s="269"/>
      <c r="W446" s="269"/>
    </row>
    <row r="447" spans="21:23" ht="15">
      <c r="U447" s="269"/>
      <c r="V447" s="269"/>
      <c r="W447" s="269"/>
    </row>
    <row r="448" spans="21:23" ht="15">
      <c r="U448" s="269"/>
      <c r="V448" s="269"/>
      <c r="W448" s="269"/>
    </row>
    <row r="449" spans="21:23" ht="15">
      <c r="U449" s="269"/>
      <c r="V449" s="269"/>
      <c r="W449" s="269"/>
    </row>
    <row r="450" spans="21:23" ht="15">
      <c r="U450" s="269"/>
      <c r="V450" s="269"/>
      <c r="W450" s="269"/>
    </row>
    <row r="451" spans="21:23" ht="15">
      <c r="U451" s="269"/>
      <c r="V451" s="269"/>
      <c r="W451" s="269"/>
    </row>
    <row r="452" spans="21:23" ht="15">
      <c r="U452" s="269"/>
      <c r="V452" s="269"/>
      <c r="W452" s="269"/>
    </row>
    <row r="453" spans="21:23" ht="15">
      <c r="U453" s="269"/>
      <c r="V453" s="269"/>
      <c r="W453" s="269"/>
    </row>
    <row r="454" spans="21:23" ht="15">
      <c r="U454" s="269"/>
      <c r="V454" s="269"/>
      <c r="W454" s="269"/>
    </row>
    <row r="455" spans="21:23" ht="15">
      <c r="U455" s="269"/>
      <c r="V455" s="269"/>
      <c r="W455" s="269"/>
    </row>
    <row r="456" spans="21:23" ht="15">
      <c r="U456" s="269"/>
      <c r="V456" s="269"/>
      <c r="W456" s="269"/>
    </row>
    <row r="457" spans="21:23" ht="15">
      <c r="U457" s="269"/>
      <c r="V457" s="269"/>
      <c r="W457" s="269"/>
    </row>
    <row r="458" spans="21:23" ht="15">
      <c r="U458" s="269"/>
      <c r="V458" s="269"/>
      <c r="W458" s="269"/>
    </row>
    <row r="459" spans="21:23" ht="15">
      <c r="U459" s="269"/>
      <c r="V459" s="269"/>
      <c r="W459" s="269"/>
    </row>
    <row r="460" spans="21:23" ht="15">
      <c r="U460" s="269"/>
      <c r="V460" s="269"/>
      <c r="W460" s="269"/>
    </row>
    <row r="461" spans="21:23" ht="15">
      <c r="U461" s="269"/>
      <c r="V461" s="269"/>
      <c r="W461" s="269"/>
    </row>
    <row r="462" spans="21:23" ht="15">
      <c r="U462" s="269"/>
      <c r="V462" s="269"/>
      <c r="W462" s="269"/>
    </row>
    <row r="463" spans="21:23" ht="15">
      <c r="U463" s="269"/>
      <c r="V463" s="269"/>
      <c r="W463" s="269"/>
    </row>
    <row r="464" spans="21:23" ht="15">
      <c r="U464" s="269"/>
      <c r="V464" s="269"/>
      <c r="W464" s="269"/>
    </row>
    <row r="465" spans="21:23" ht="15">
      <c r="U465" s="269"/>
      <c r="V465" s="269"/>
      <c r="W465" s="269"/>
    </row>
    <row r="466" spans="21:23" ht="15">
      <c r="U466" s="269"/>
      <c r="V466" s="269"/>
      <c r="W466" s="269"/>
    </row>
    <row r="467" spans="21:23" ht="15">
      <c r="U467" s="269"/>
      <c r="V467" s="269"/>
      <c r="W467" s="269"/>
    </row>
    <row r="468" spans="21:23" ht="15">
      <c r="U468" s="269"/>
      <c r="V468" s="269"/>
      <c r="W468" s="269"/>
    </row>
    <row r="469" spans="21:23" ht="15">
      <c r="U469" s="269"/>
      <c r="V469" s="269"/>
      <c r="W469" s="269"/>
    </row>
    <row r="470" spans="21:23" ht="15">
      <c r="U470" s="269"/>
      <c r="V470" s="269"/>
      <c r="W470" s="269"/>
    </row>
    <row r="471" spans="21:23" ht="15">
      <c r="U471" s="269"/>
      <c r="V471" s="269"/>
      <c r="W471" s="269"/>
    </row>
    <row r="472" spans="21:23" ht="15">
      <c r="U472" s="269"/>
      <c r="V472" s="269"/>
      <c r="W472" s="269"/>
    </row>
    <row r="473" spans="21:23" ht="15">
      <c r="U473" s="269"/>
      <c r="V473" s="269"/>
      <c r="W473" s="269"/>
    </row>
    <row r="474" spans="21:23" ht="15">
      <c r="U474" s="269"/>
      <c r="V474" s="269"/>
      <c r="W474" s="269"/>
    </row>
    <row r="475" spans="21:23" ht="15">
      <c r="U475" s="269"/>
      <c r="V475" s="269"/>
      <c r="W475" s="269"/>
    </row>
    <row r="476" spans="21:23" ht="15">
      <c r="U476" s="269"/>
      <c r="V476" s="269"/>
      <c r="W476" s="269"/>
    </row>
    <row r="477" spans="21:23" ht="15">
      <c r="U477" s="269"/>
      <c r="V477" s="269"/>
      <c r="W477" s="269"/>
    </row>
    <row r="478" spans="21:23" ht="15">
      <c r="U478" s="269"/>
      <c r="V478" s="269"/>
      <c r="W478" s="269"/>
    </row>
    <row r="479" spans="21:23" ht="15">
      <c r="U479" s="269"/>
      <c r="V479" s="269"/>
      <c r="W479" s="269"/>
    </row>
    <row r="480" spans="21:23" ht="15">
      <c r="U480" s="269"/>
      <c r="V480" s="269"/>
      <c r="W480" s="269"/>
    </row>
    <row r="481" spans="21:23" ht="15">
      <c r="U481" s="269"/>
      <c r="V481" s="269"/>
      <c r="W481" s="269"/>
    </row>
    <row r="482" spans="21:23" ht="15">
      <c r="U482" s="269"/>
      <c r="V482" s="269"/>
      <c r="W482" s="269"/>
    </row>
    <row r="483" spans="21:23" ht="15">
      <c r="U483" s="269"/>
      <c r="V483" s="269"/>
      <c r="W483" s="269"/>
    </row>
    <row r="484" spans="21:23" ht="15">
      <c r="U484" s="269"/>
      <c r="V484" s="269"/>
      <c r="W484" s="269"/>
    </row>
    <row r="485" spans="21:23" ht="15">
      <c r="U485" s="269"/>
      <c r="V485" s="269"/>
      <c r="W485" s="269"/>
    </row>
    <row r="486" spans="21:23" ht="15">
      <c r="U486" s="269"/>
      <c r="V486" s="269"/>
      <c r="W486" s="269"/>
    </row>
    <row r="487" spans="21:23" ht="15">
      <c r="U487" s="269"/>
      <c r="V487" s="269"/>
      <c r="W487" s="269"/>
    </row>
    <row r="488" spans="21:23" ht="15">
      <c r="U488" s="269"/>
      <c r="V488" s="269"/>
      <c r="W488" s="269"/>
    </row>
    <row r="489" spans="21:23" ht="15">
      <c r="U489" s="269"/>
      <c r="V489" s="269"/>
      <c r="W489" s="269"/>
    </row>
    <row r="490" spans="21:23" ht="15">
      <c r="U490" s="269"/>
      <c r="V490" s="269"/>
      <c r="W490" s="269"/>
    </row>
    <row r="491" spans="21:23" ht="15">
      <c r="U491" s="269"/>
      <c r="V491" s="269"/>
      <c r="W491" s="269"/>
    </row>
    <row r="492" spans="21:23" ht="15">
      <c r="U492" s="269"/>
      <c r="V492" s="269"/>
      <c r="W492" s="269"/>
    </row>
    <row r="493" spans="21:23" ht="15">
      <c r="U493" s="269"/>
      <c r="V493" s="269"/>
      <c r="W493" s="269"/>
    </row>
    <row r="494" spans="21:23" ht="15">
      <c r="U494" s="269"/>
      <c r="V494" s="269"/>
      <c r="W494" s="269"/>
    </row>
    <row r="495" spans="21:23" ht="15">
      <c r="U495" s="269"/>
      <c r="V495" s="269"/>
      <c r="W495" s="269"/>
    </row>
    <row r="496" spans="21:23" ht="15">
      <c r="U496" s="269"/>
      <c r="V496" s="269"/>
      <c r="W496" s="269"/>
    </row>
    <row r="497" spans="21:23" ht="15">
      <c r="U497" s="269"/>
      <c r="V497" s="269"/>
      <c r="W497" s="269"/>
    </row>
    <row r="498" spans="21:23" ht="15">
      <c r="U498" s="269"/>
      <c r="V498" s="269"/>
      <c r="W498" s="269"/>
    </row>
    <row r="499" spans="21:23" ht="15">
      <c r="U499" s="269"/>
      <c r="V499" s="269"/>
      <c r="W499" s="269"/>
    </row>
    <row r="500" spans="21:23" ht="15">
      <c r="U500" s="269"/>
      <c r="V500" s="269"/>
      <c r="W500" s="269"/>
    </row>
    <row r="501" spans="21:23" ht="15">
      <c r="U501" s="269"/>
      <c r="V501" s="269"/>
      <c r="W501" s="269"/>
    </row>
    <row r="502" spans="21:23" ht="15">
      <c r="U502" s="269"/>
      <c r="V502" s="269"/>
      <c r="W502" s="269"/>
    </row>
    <row r="503" spans="21:23" ht="15">
      <c r="U503" s="269"/>
      <c r="V503" s="269"/>
      <c r="W503" s="269"/>
    </row>
    <row r="504" spans="21:23" ht="15">
      <c r="U504" s="269"/>
      <c r="V504" s="269"/>
      <c r="W504" s="269"/>
    </row>
    <row r="505" spans="21:23" ht="15">
      <c r="U505" s="269"/>
      <c r="V505" s="269"/>
      <c r="W505" s="269"/>
    </row>
    <row r="506" spans="21:23" ht="15">
      <c r="U506" s="269"/>
      <c r="V506" s="269"/>
      <c r="W506" s="269"/>
    </row>
    <row r="507" spans="21:23" ht="15">
      <c r="U507" s="269"/>
      <c r="V507" s="269"/>
      <c r="W507" s="269"/>
    </row>
    <row r="508" spans="21:23" ht="15">
      <c r="U508" s="269"/>
      <c r="V508" s="269"/>
      <c r="W508" s="269"/>
    </row>
    <row r="509" spans="21:23" ht="15">
      <c r="U509" s="269"/>
      <c r="V509" s="269"/>
      <c r="W509" s="269"/>
    </row>
    <row r="510" spans="21:23" ht="15">
      <c r="U510" s="269"/>
      <c r="V510" s="269"/>
      <c r="W510" s="269"/>
    </row>
    <row r="511" spans="21:23" ht="15">
      <c r="U511" s="269"/>
      <c r="V511" s="269"/>
      <c r="W511" s="269"/>
    </row>
    <row r="512" spans="21:23" ht="15">
      <c r="U512" s="269"/>
      <c r="V512" s="269"/>
      <c r="W512" s="269"/>
    </row>
    <row r="513" spans="21:23" ht="15">
      <c r="U513" s="269"/>
      <c r="V513" s="269"/>
      <c r="W513" s="269"/>
    </row>
    <row r="514" spans="21:23" ht="15">
      <c r="U514" s="269"/>
      <c r="V514" s="269"/>
      <c r="W514" s="269"/>
    </row>
    <row r="515" spans="21:23" ht="15">
      <c r="U515" s="269"/>
      <c r="V515" s="269"/>
      <c r="W515" s="269"/>
    </row>
    <row r="516" spans="21:23" ht="15">
      <c r="U516" s="269"/>
      <c r="V516" s="269"/>
      <c r="W516" s="269"/>
    </row>
    <row r="517" spans="21:23" ht="15">
      <c r="U517" s="269"/>
      <c r="V517" s="269"/>
      <c r="W517" s="269"/>
    </row>
    <row r="518" spans="21:23" ht="15">
      <c r="U518" s="269"/>
      <c r="V518" s="269"/>
      <c r="W518" s="269"/>
    </row>
    <row r="519" spans="21:23" ht="15">
      <c r="U519" s="269"/>
      <c r="V519" s="269"/>
      <c r="W519" s="269"/>
    </row>
    <row r="520" spans="21:23" ht="15">
      <c r="U520" s="269"/>
      <c r="V520" s="269"/>
      <c r="W520" s="269"/>
    </row>
    <row r="521" spans="21:23" ht="15">
      <c r="U521" s="269"/>
      <c r="V521" s="269"/>
      <c r="W521" s="269"/>
    </row>
    <row r="522" spans="21:23" ht="15">
      <c r="U522" s="269"/>
      <c r="V522" s="269"/>
      <c r="W522" s="269"/>
    </row>
    <row r="523" spans="21:23" ht="15">
      <c r="U523" s="269"/>
      <c r="V523" s="269"/>
      <c r="W523" s="269"/>
    </row>
    <row r="524" spans="21:23" ht="15">
      <c r="U524" s="269"/>
      <c r="V524" s="269"/>
      <c r="W524" s="269"/>
    </row>
    <row r="525" spans="21:23" ht="15">
      <c r="U525" s="269"/>
      <c r="V525" s="269"/>
      <c r="W525" s="269"/>
    </row>
    <row r="526" spans="21:23" ht="15">
      <c r="U526" s="269"/>
      <c r="V526" s="269"/>
      <c r="W526" s="269"/>
    </row>
    <row r="527" spans="21:23" ht="15">
      <c r="U527" s="269"/>
      <c r="V527" s="269"/>
      <c r="W527" s="269"/>
    </row>
    <row r="528" spans="21:23" ht="15">
      <c r="U528" s="269"/>
      <c r="V528" s="269"/>
      <c r="W528" s="269"/>
    </row>
    <row r="529" spans="21:23" ht="15">
      <c r="U529" s="269"/>
      <c r="V529" s="269"/>
      <c r="W529" s="269"/>
    </row>
    <row r="530" spans="21:23" ht="15">
      <c r="U530" s="269"/>
      <c r="V530" s="269"/>
      <c r="W530" s="269"/>
    </row>
    <row r="531" spans="21:23" ht="15">
      <c r="U531" s="269"/>
      <c r="V531" s="269"/>
      <c r="W531" s="269"/>
    </row>
    <row r="532" spans="21:23" ht="15">
      <c r="U532" s="269"/>
      <c r="V532" s="269"/>
      <c r="W532" s="269"/>
    </row>
    <row r="533" spans="21:23" ht="15">
      <c r="U533" s="269"/>
      <c r="V533" s="269"/>
      <c r="W533" s="269"/>
    </row>
    <row r="534" spans="21:23" ht="15">
      <c r="U534" s="269"/>
      <c r="V534" s="269"/>
      <c r="W534" s="269"/>
    </row>
    <row r="535" spans="21:23" ht="15">
      <c r="U535" s="269"/>
      <c r="V535" s="269"/>
      <c r="W535" s="269"/>
    </row>
    <row r="536" spans="21:23" ht="15">
      <c r="U536" s="269"/>
      <c r="V536" s="269"/>
      <c r="W536" s="269"/>
    </row>
    <row r="537" spans="21:23" ht="15">
      <c r="U537" s="269"/>
      <c r="V537" s="269"/>
      <c r="W537" s="269"/>
    </row>
    <row r="538" spans="21:23" ht="15">
      <c r="U538" s="269"/>
      <c r="V538" s="269"/>
      <c r="W538" s="269"/>
    </row>
    <row r="539" spans="21:23" ht="15">
      <c r="U539" s="269"/>
      <c r="V539" s="269"/>
      <c r="W539" s="269"/>
    </row>
    <row r="540" spans="21:23" ht="15">
      <c r="U540" s="269"/>
      <c r="V540" s="269"/>
      <c r="W540" s="269"/>
    </row>
    <row r="541" spans="21:23" ht="15">
      <c r="U541" s="269"/>
      <c r="V541" s="269"/>
      <c r="W541" s="269"/>
    </row>
    <row r="542" spans="21:23" ht="15">
      <c r="U542" s="269"/>
      <c r="V542" s="269"/>
      <c r="W542" s="269"/>
    </row>
    <row r="543" spans="21:23" ht="15">
      <c r="U543" s="269"/>
      <c r="V543" s="269"/>
      <c r="W543" s="269"/>
    </row>
    <row r="544" spans="21:23" ht="15">
      <c r="U544" s="269"/>
      <c r="V544" s="269"/>
      <c r="W544" s="269"/>
    </row>
    <row r="545" spans="21:23" ht="15">
      <c r="U545" s="269"/>
      <c r="V545" s="269"/>
      <c r="W545" s="269"/>
    </row>
    <row r="546" spans="21:23" ht="15">
      <c r="U546" s="269"/>
      <c r="V546" s="269"/>
      <c r="W546" s="269"/>
    </row>
    <row r="547" spans="21:23" ht="15">
      <c r="U547" s="269"/>
      <c r="V547" s="269"/>
      <c r="W547" s="269"/>
    </row>
    <row r="548" spans="21:23" ht="15">
      <c r="U548" s="269"/>
      <c r="V548" s="269"/>
      <c r="W548" s="269"/>
    </row>
    <row r="549" spans="21:23" ht="15">
      <c r="U549" s="269"/>
      <c r="V549" s="269"/>
      <c r="W549" s="269"/>
    </row>
    <row r="550" spans="21:23" ht="15">
      <c r="U550" s="269"/>
      <c r="V550" s="269"/>
      <c r="W550" s="269"/>
    </row>
    <row r="551" spans="21:23" ht="15">
      <c r="U551" s="269"/>
      <c r="V551" s="269"/>
      <c r="W551" s="269"/>
    </row>
    <row r="552" spans="21:23" ht="15">
      <c r="U552" s="269"/>
      <c r="V552" s="269"/>
      <c r="W552" s="269"/>
    </row>
    <row r="553" spans="21:23" ht="15">
      <c r="U553" s="269"/>
      <c r="V553" s="269"/>
      <c r="W553" s="269"/>
    </row>
    <row r="554" spans="21:23" ht="15">
      <c r="U554" s="269"/>
      <c r="V554" s="269"/>
      <c r="W554" s="269"/>
    </row>
    <row r="555" spans="21:23" ht="15">
      <c r="U555" s="269"/>
      <c r="V555" s="269"/>
      <c r="W555" s="269"/>
    </row>
    <row r="556" spans="21:23" ht="15">
      <c r="U556" s="269"/>
      <c r="V556" s="269"/>
      <c r="W556" s="269"/>
    </row>
    <row r="557" spans="21:23" ht="15">
      <c r="U557" s="269"/>
      <c r="V557" s="269"/>
      <c r="W557" s="269"/>
    </row>
    <row r="558" spans="21:23" ht="15">
      <c r="U558" s="269"/>
      <c r="V558" s="269"/>
      <c r="W558" s="269"/>
    </row>
    <row r="559" spans="21:23" ht="15">
      <c r="U559" s="269"/>
      <c r="V559" s="269"/>
      <c r="W559" s="269"/>
    </row>
    <row r="560" spans="21:23" ht="15">
      <c r="U560" s="269"/>
      <c r="V560" s="269"/>
      <c r="W560" s="269"/>
    </row>
    <row r="561" spans="21:23" ht="15">
      <c r="U561" s="269"/>
      <c r="V561" s="269"/>
      <c r="W561" s="269"/>
    </row>
    <row r="562" spans="21:23" ht="15">
      <c r="U562" s="269"/>
      <c r="V562" s="269"/>
      <c r="W562" s="269"/>
    </row>
    <row r="563" spans="21:23" ht="15">
      <c r="U563" s="269"/>
      <c r="V563" s="269"/>
      <c r="W563" s="269"/>
    </row>
    <row r="564" spans="21:23" ht="15">
      <c r="U564" s="269"/>
      <c r="V564" s="269"/>
      <c r="W564" s="269"/>
    </row>
    <row r="565" spans="21:23" ht="15">
      <c r="U565" s="269"/>
      <c r="V565" s="269"/>
      <c r="W565" s="269"/>
    </row>
    <row r="566" spans="21:23" ht="15">
      <c r="U566" s="269"/>
      <c r="V566" s="269"/>
      <c r="W566" s="269"/>
    </row>
    <row r="567" spans="21:23" ht="15">
      <c r="U567" s="269"/>
      <c r="V567" s="269"/>
      <c r="W567" s="269"/>
    </row>
    <row r="568" spans="21:23" ht="15">
      <c r="U568" s="269"/>
      <c r="V568" s="269"/>
      <c r="W568" s="269"/>
    </row>
    <row r="569" spans="21:23" ht="15">
      <c r="U569" s="269"/>
      <c r="V569" s="269"/>
      <c r="W569" s="269"/>
    </row>
    <row r="570" spans="21:23" ht="15">
      <c r="U570" s="269"/>
      <c r="V570" s="269"/>
      <c r="W570" s="269"/>
    </row>
    <row r="571" spans="21:23" ht="15">
      <c r="U571" s="269"/>
      <c r="V571" s="269"/>
      <c r="W571" s="269"/>
    </row>
    <row r="572" spans="21:23" ht="15">
      <c r="U572" s="269"/>
      <c r="V572" s="269"/>
      <c r="W572" s="269"/>
    </row>
    <row r="573" spans="21:23" ht="15">
      <c r="U573" s="269"/>
      <c r="V573" s="269"/>
      <c r="W573" s="269"/>
    </row>
    <row r="574" spans="21:23" ht="15">
      <c r="U574" s="269"/>
      <c r="V574" s="269"/>
      <c r="W574" s="269"/>
    </row>
    <row r="575" spans="21:23" ht="15">
      <c r="U575" s="269"/>
      <c r="V575" s="269"/>
      <c r="W575" s="269"/>
    </row>
    <row r="576" spans="21:23" ht="15">
      <c r="U576" s="269"/>
      <c r="V576" s="269"/>
      <c r="W576" s="269"/>
    </row>
    <row r="577" spans="21:23" ht="15">
      <c r="U577" s="269"/>
      <c r="V577" s="269"/>
      <c r="W577" s="269"/>
    </row>
    <row r="578" spans="21:23" ht="15">
      <c r="U578" s="269"/>
      <c r="V578" s="269"/>
      <c r="W578" s="269"/>
    </row>
    <row r="579" spans="21:23" ht="15">
      <c r="U579" s="269"/>
      <c r="V579" s="269"/>
      <c r="W579" s="269"/>
    </row>
    <row r="580" spans="21:23" ht="15">
      <c r="U580" s="269"/>
      <c r="V580" s="269"/>
      <c r="W580" s="269"/>
    </row>
    <row r="581" spans="21:23" ht="15">
      <c r="U581" s="269"/>
      <c r="V581" s="269"/>
      <c r="W581" s="269"/>
    </row>
    <row r="582" spans="21:23" ht="15">
      <c r="U582" s="269"/>
      <c r="V582" s="269"/>
      <c r="W582" s="269"/>
    </row>
    <row r="583" spans="21:23" ht="15">
      <c r="U583" s="269"/>
      <c r="V583" s="269"/>
      <c r="W583" s="269"/>
    </row>
    <row r="584" spans="21:23" ht="15">
      <c r="U584" s="269"/>
      <c r="V584" s="269"/>
      <c r="W584" s="269"/>
    </row>
    <row r="585" spans="21:23" ht="15">
      <c r="U585" s="269"/>
      <c r="V585" s="269"/>
      <c r="W585" s="269"/>
    </row>
    <row r="586" spans="21:23" ht="15">
      <c r="U586" s="269"/>
      <c r="V586" s="269"/>
      <c r="W586" s="269"/>
    </row>
    <row r="587" spans="21:23" ht="15">
      <c r="U587" s="269"/>
      <c r="V587" s="269"/>
      <c r="W587" s="269"/>
    </row>
    <row r="588" spans="21:23" ht="15">
      <c r="U588" s="269"/>
      <c r="V588" s="269"/>
      <c r="W588" s="269"/>
    </row>
    <row r="589" spans="21:23" ht="15">
      <c r="U589" s="269"/>
      <c r="V589" s="269"/>
      <c r="W589" s="269"/>
    </row>
    <row r="590" spans="21:23" ht="15">
      <c r="U590" s="269"/>
      <c r="V590" s="269"/>
      <c r="W590" s="269"/>
    </row>
    <row r="591" spans="21:23" ht="15">
      <c r="U591" s="269"/>
      <c r="V591" s="269"/>
      <c r="W591" s="269"/>
    </row>
    <row r="592" spans="21:23" ht="15">
      <c r="U592" s="269"/>
      <c r="V592" s="269"/>
      <c r="W592" s="269"/>
    </row>
    <row r="593" spans="21:23" ht="15">
      <c r="U593" s="269"/>
      <c r="V593" s="269"/>
      <c r="W593" s="269"/>
    </row>
    <row r="594" spans="21:23" ht="15">
      <c r="U594" s="269"/>
      <c r="V594" s="269"/>
      <c r="W594" s="269"/>
    </row>
    <row r="595" spans="21:23" ht="15">
      <c r="U595" s="269"/>
      <c r="V595" s="269"/>
      <c r="W595" s="269"/>
    </row>
    <row r="596" spans="21:23" ht="15">
      <c r="U596" s="269"/>
      <c r="V596" s="269"/>
      <c r="W596" s="269"/>
    </row>
    <row r="597" spans="21:23" ht="15">
      <c r="U597" s="269"/>
      <c r="V597" s="269"/>
      <c r="W597" s="269"/>
    </row>
    <row r="598" spans="21:23" ht="15">
      <c r="U598" s="269"/>
      <c r="V598" s="269"/>
      <c r="W598" s="269"/>
    </row>
    <row r="599" spans="21:23" ht="15">
      <c r="U599" s="269"/>
      <c r="V599" s="269"/>
      <c r="W599" s="269"/>
    </row>
    <row r="600" spans="21:23" ht="15">
      <c r="U600" s="269"/>
      <c r="V600" s="269"/>
      <c r="W600" s="269"/>
    </row>
    <row r="601" spans="21:23" ht="15">
      <c r="U601" s="269"/>
      <c r="V601" s="269"/>
      <c r="W601" s="269"/>
    </row>
    <row r="602" spans="21:23" ht="15">
      <c r="U602" s="269"/>
      <c r="V602" s="269"/>
      <c r="W602" s="269"/>
    </row>
    <row r="603" spans="21:23" ht="15">
      <c r="U603" s="269"/>
      <c r="V603" s="269"/>
      <c r="W603" s="269"/>
    </row>
    <row r="604" spans="21:23" ht="15">
      <c r="U604" s="269"/>
      <c r="V604" s="269"/>
      <c r="W604" s="269"/>
    </row>
    <row r="605" spans="21:23" ht="15">
      <c r="U605" s="269"/>
      <c r="V605" s="269"/>
      <c r="W605" s="269"/>
    </row>
    <row r="606" spans="21:23" ht="15">
      <c r="U606" s="269"/>
      <c r="V606" s="269"/>
      <c r="W606" s="269"/>
    </row>
    <row r="607" spans="21:23" ht="15">
      <c r="U607" s="269"/>
      <c r="V607" s="269"/>
      <c r="W607" s="269"/>
    </row>
    <row r="608" spans="21:23" ht="15">
      <c r="U608" s="269"/>
      <c r="V608" s="269"/>
      <c r="W608" s="269"/>
    </row>
    <row r="609" spans="21:23" ht="15">
      <c r="U609" s="269"/>
      <c r="V609" s="269"/>
      <c r="W609" s="269"/>
    </row>
    <row r="610" spans="21:23" ht="15">
      <c r="U610" s="269"/>
      <c r="V610" s="269"/>
      <c r="W610" s="269"/>
    </row>
    <row r="611" spans="21:23" ht="15">
      <c r="U611" s="269"/>
      <c r="V611" s="269"/>
      <c r="W611" s="269"/>
    </row>
    <row r="612" spans="21:23" ht="15">
      <c r="U612" s="269"/>
      <c r="V612" s="269"/>
      <c r="W612" s="269"/>
    </row>
    <row r="613" spans="21:23" ht="15">
      <c r="U613" s="269"/>
      <c r="V613" s="269"/>
      <c r="W613" s="269"/>
    </row>
    <row r="614" spans="21:23" ht="15">
      <c r="U614" s="269"/>
      <c r="V614" s="269"/>
      <c r="W614" s="269"/>
    </row>
    <row r="615" spans="21:23" ht="15">
      <c r="U615" s="269"/>
      <c r="V615" s="269"/>
      <c r="W615" s="269"/>
    </row>
    <row r="616" spans="21:23" ht="15">
      <c r="U616" s="269"/>
      <c r="V616" s="269"/>
      <c r="W616" s="269"/>
    </row>
    <row r="617" spans="21:23" ht="15">
      <c r="U617" s="269"/>
      <c r="V617" s="269"/>
      <c r="W617" s="269"/>
    </row>
    <row r="618" spans="21:23" ht="15">
      <c r="U618" s="269"/>
      <c r="V618" s="269"/>
      <c r="W618" s="269"/>
    </row>
    <row r="619" spans="21:23" ht="15">
      <c r="U619" s="269"/>
      <c r="V619" s="269"/>
      <c r="W619" s="269"/>
    </row>
    <row r="620" spans="21:23" ht="15">
      <c r="U620" s="269"/>
      <c r="V620" s="269"/>
      <c r="W620" s="269"/>
    </row>
    <row r="621" spans="21:23" ht="15">
      <c r="U621" s="269"/>
      <c r="V621" s="269"/>
      <c r="W621" s="269"/>
    </row>
    <row r="622" spans="21:23" ht="15">
      <c r="U622" s="269"/>
      <c r="V622" s="269"/>
      <c r="W622" s="269"/>
    </row>
    <row r="623" spans="21:23" ht="15">
      <c r="U623" s="269"/>
      <c r="V623" s="269"/>
      <c r="W623" s="269"/>
    </row>
    <row r="624" spans="21:23" ht="15">
      <c r="U624" s="269"/>
      <c r="V624" s="269"/>
      <c r="W624" s="269"/>
    </row>
    <row r="625" spans="21:23" ht="15">
      <c r="U625" s="269"/>
      <c r="V625" s="269"/>
      <c r="W625" s="269"/>
    </row>
    <row r="626" spans="21:23" ht="15">
      <c r="U626" s="269"/>
      <c r="V626" s="269"/>
      <c r="W626" s="269"/>
    </row>
    <row r="627" spans="21:23" ht="15">
      <c r="U627" s="269"/>
      <c r="V627" s="269"/>
      <c r="W627" s="269"/>
    </row>
    <row r="628" spans="21:23" ht="15">
      <c r="U628" s="269"/>
      <c r="V628" s="269"/>
      <c r="W628" s="269"/>
    </row>
    <row r="629" spans="21:23" ht="15">
      <c r="U629" s="269"/>
      <c r="V629" s="269"/>
      <c r="W629" s="269"/>
    </row>
    <row r="630" spans="21:23" ht="15">
      <c r="U630" s="269"/>
      <c r="V630" s="269"/>
      <c r="W630" s="269"/>
    </row>
    <row r="631" spans="21:23" ht="15">
      <c r="U631" s="269"/>
      <c r="V631" s="269"/>
      <c r="W631" s="269"/>
    </row>
    <row r="632" spans="21:23" ht="15">
      <c r="U632" s="269"/>
      <c r="V632" s="269"/>
      <c r="W632" s="269"/>
    </row>
    <row r="633" spans="21:23" ht="15">
      <c r="U633" s="269"/>
      <c r="V633" s="269"/>
      <c r="W633" s="269"/>
    </row>
    <row r="634" spans="21:23" ht="15">
      <c r="U634" s="269"/>
      <c r="V634" s="269"/>
      <c r="W634" s="269"/>
    </row>
    <row r="635" spans="21:23" ht="15">
      <c r="U635" s="269"/>
      <c r="V635" s="269"/>
      <c r="W635" s="269"/>
    </row>
    <row r="636" spans="21:23" ht="15">
      <c r="U636" s="269"/>
      <c r="V636" s="269"/>
      <c r="W636" s="269"/>
    </row>
    <row r="637" spans="21:23" ht="15">
      <c r="U637" s="269"/>
      <c r="V637" s="269"/>
      <c r="W637" s="269"/>
    </row>
    <row r="638" spans="21:23" ht="15">
      <c r="U638" s="269"/>
      <c r="V638" s="269"/>
      <c r="W638" s="269"/>
    </row>
    <row r="639" spans="21:23" ht="15">
      <c r="U639" s="269"/>
      <c r="V639" s="269"/>
      <c r="W639" s="269"/>
    </row>
    <row r="640" spans="21:23" ht="15">
      <c r="U640" s="269"/>
      <c r="V640" s="269"/>
      <c r="W640" s="269"/>
    </row>
    <row r="641" spans="21:23" ht="15">
      <c r="U641" s="269"/>
      <c r="V641" s="269"/>
      <c r="W641" s="269"/>
    </row>
    <row r="642" spans="21:23" ht="15">
      <c r="U642" s="269"/>
      <c r="V642" s="269"/>
      <c r="W642" s="269"/>
    </row>
    <row r="643" spans="21:23" ht="15">
      <c r="U643" s="269"/>
      <c r="V643" s="269"/>
      <c r="W643" s="269"/>
    </row>
    <row r="644" spans="21:23" ht="15">
      <c r="U644" s="269"/>
      <c r="V644" s="269"/>
      <c r="W644" s="269"/>
    </row>
    <row r="645" spans="21:23" ht="15">
      <c r="U645" s="269"/>
      <c r="V645" s="269"/>
      <c r="W645" s="269"/>
    </row>
    <row r="646" spans="21:23" ht="15">
      <c r="U646" s="269"/>
      <c r="V646" s="269"/>
      <c r="W646" s="269"/>
    </row>
    <row r="647" spans="21:23" ht="15">
      <c r="U647" s="269"/>
      <c r="V647" s="269"/>
      <c r="W647" s="269"/>
    </row>
    <row r="648" spans="21:23" ht="15">
      <c r="U648" s="269"/>
      <c r="V648" s="269"/>
      <c r="W648" s="269"/>
    </row>
    <row r="649" spans="21:23" ht="15">
      <c r="U649" s="269"/>
      <c r="V649" s="269"/>
      <c r="W649" s="269"/>
    </row>
    <row r="650" spans="21:23" ht="15">
      <c r="U650" s="269"/>
      <c r="V650" s="269"/>
      <c r="W650" s="269"/>
    </row>
    <row r="651" spans="21:23" ht="15">
      <c r="U651" s="269"/>
      <c r="V651" s="269"/>
      <c r="W651" s="269"/>
    </row>
    <row r="652" spans="21:23" ht="15">
      <c r="U652" s="269"/>
      <c r="V652" s="269"/>
      <c r="W652" s="269"/>
    </row>
    <row r="653" spans="21:23" ht="15">
      <c r="U653" s="269"/>
      <c r="V653" s="269"/>
      <c r="W653" s="269"/>
    </row>
    <row r="654" spans="21:23" ht="15">
      <c r="U654" s="269"/>
      <c r="V654" s="269"/>
      <c r="W654" s="269"/>
    </row>
    <row r="655" spans="21:23" ht="15">
      <c r="U655" s="269"/>
      <c r="V655" s="269"/>
      <c r="W655" s="269"/>
    </row>
    <row r="656" spans="21:23" ht="15">
      <c r="U656" s="269"/>
      <c r="V656" s="269"/>
      <c r="W656" s="269"/>
    </row>
    <row r="657" spans="21:23" ht="15">
      <c r="U657" s="269"/>
      <c r="V657" s="269"/>
      <c r="W657" s="269"/>
    </row>
    <row r="658" spans="21:23" ht="15">
      <c r="U658" s="269"/>
      <c r="V658" s="269"/>
      <c r="W658" s="269"/>
    </row>
    <row r="659" spans="21:23" ht="15">
      <c r="U659" s="269"/>
      <c r="V659" s="269"/>
      <c r="W659" s="269"/>
    </row>
    <row r="660" spans="21:23" ht="15">
      <c r="U660" s="269"/>
      <c r="V660" s="269"/>
      <c r="W660" s="269"/>
    </row>
    <row r="661" spans="21:23" ht="15">
      <c r="U661" s="269"/>
      <c r="V661" s="269"/>
      <c r="W661" s="269"/>
    </row>
    <row r="662" spans="21:23" ht="15">
      <c r="U662" s="269"/>
      <c r="V662" s="269"/>
      <c r="W662" s="269"/>
    </row>
    <row r="663" spans="21:23" ht="15">
      <c r="U663" s="269"/>
      <c r="V663" s="269"/>
      <c r="W663" s="269"/>
    </row>
    <row r="664" spans="21:23" ht="15">
      <c r="U664" s="269"/>
      <c r="V664" s="269"/>
      <c r="W664" s="269"/>
    </row>
    <row r="665" spans="21:23" ht="15">
      <c r="U665" s="269"/>
      <c r="V665" s="269"/>
      <c r="W665" s="269"/>
    </row>
    <row r="666" spans="21:23" ht="15">
      <c r="U666" s="269"/>
      <c r="V666" s="269"/>
      <c r="W666" s="269"/>
    </row>
    <row r="667" spans="21:23" ht="15">
      <c r="U667" s="269"/>
      <c r="V667" s="269"/>
      <c r="W667" s="269"/>
    </row>
    <row r="668" spans="21:23" ht="15">
      <c r="U668" s="269"/>
      <c r="V668" s="269"/>
      <c r="W668" s="269"/>
    </row>
    <row r="669" spans="21:23" ht="15">
      <c r="U669" s="269"/>
      <c r="V669" s="269"/>
      <c r="W669" s="269"/>
    </row>
    <row r="670" spans="21:23" ht="15">
      <c r="U670" s="269"/>
      <c r="V670" s="269"/>
      <c r="W670" s="269"/>
    </row>
    <row r="671" spans="21:23" ht="15">
      <c r="U671" s="269"/>
      <c r="V671" s="269"/>
      <c r="W671" s="269"/>
    </row>
    <row r="672" spans="21:23" ht="15">
      <c r="U672" s="269"/>
      <c r="V672" s="269"/>
      <c r="W672" s="269"/>
    </row>
    <row r="673" spans="21:23" ht="15">
      <c r="U673" s="269"/>
      <c r="V673" s="269"/>
      <c r="W673" s="269"/>
    </row>
    <row r="674" spans="21:23" ht="15">
      <c r="U674" s="269"/>
      <c r="V674" s="269"/>
      <c r="W674" s="269"/>
    </row>
    <row r="675" spans="21:23" ht="15">
      <c r="U675" s="269"/>
      <c r="V675" s="269"/>
      <c r="W675" s="269"/>
    </row>
    <row r="676" spans="21:23" ht="15">
      <c r="U676" s="269"/>
      <c r="V676" s="269"/>
      <c r="W676" s="269"/>
    </row>
    <row r="677" spans="21:23" ht="15">
      <c r="U677" s="269"/>
      <c r="V677" s="269"/>
      <c r="W677" s="269"/>
    </row>
    <row r="678" spans="21:23" ht="15">
      <c r="U678" s="269"/>
      <c r="V678" s="269"/>
      <c r="W678" s="269"/>
    </row>
    <row r="679" spans="21:23" ht="15">
      <c r="U679" s="269"/>
      <c r="V679" s="269"/>
      <c r="W679" s="269"/>
    </row>
    <row r="680" spans="21:23" ht="15">
      <c r="U680" s="269"/>
      <c r="V680" s="269"/>
      <c r="W680" s="269"/>
    </row>
    <row r="681" spans="21:23" ht="15">
      <c r="U681" s="269"/>
      <c r="V681" s="269"/>
      <c r="W681" s="269"/>
    </row>
    <row r="682" spans="21:23" ht="15">
      <c r="U682" s="269"/>
      <c r="V682" s="269"/>
      <c r="W682" s="269"/>
    </row>
    <row r="683" spans="21:23" ht="15">
      <c r="U683" s="269"/>
      <c r="V683" s="269"/>
      <c r="W683" s="269"/>
    </row>
    <row r="684" spans="21:23" ht="15">
      <c r="U684" s="269"/>
      <c r="V684" s="269"/>
      <c r="W684" s="269"/>
    </row>
    <row r="685" spans="21:23" ht="15">
      <c r="U685" s="269"/>
      <c r="V685" s="269"/>
      <c r="W685" s="269"/>
    </row>
    <row r="686" spans="21:23" ht="15">
      <c r="U686" s="269"/>
      <c r="V686" s="269"/>
      <c r="W686" s="269"/>
    </row>
    <row r="687" spans="21:23" ht="15">
      <c r="U687" s="269"/>
      <c r="V687" s="269"/>
      <c r="W687" s="269"/>
    </row>
    <row r="688" spans="21:23" ht="15">
      <c r="U688" s="269"/>
      <c r="V688" s="269"/>
      <c r="W688" s="269"/>
    </row>
    <row r="689" spans="21:23" ht="15">
      <c r="U689" s="269"/>
      <c r="V689" s="269"/>
      <c r="W689" s="269"/>
    </row>
    <row r="690" spans="21:23" ht="15">
      <c r="U690" s="269"/>
      <c r="V690" s="269"/>
      <c r="W690" s="269"/>
    </row>
    <row r="691" spans="21:23" ht="15">
      <c r="U691" s="269"/>
      <c r="V691" s="269"/>
      <c r="W691" s="269"/>
    </row>
    <row r="692" spans="21:23" ht="15">
      <c r="U692" s="269"/>
      <c r="V692" s="269"/>
      <c r="W692" s="269"/>
    </row>
    <row r="693" spans="21:23" ht="15">
      <c r="U693" s="269"/>
      <c r="V693" s="269"/>
      <c r="W693" s="269"/>
    </row>
    <row r="694" spans="21:23" ht="15">
      <c r="U694" s="269"/>
      <c r="V694" s="269"/>
      <c r="W694" s="269"/>
    </row>
    <row r="695" spans="21:23" ht="15">
      <c r="U695" s="269"/>
      <c r="V695" s="269"/>
      <c r="W695" s="269"/>
    </row>
    <row r="696" spans="21:23" ht="15">
      <c r="U696" s="269"/>
      <c r="V696" s="269"/>
      <c r="W696" s="269"/>
    </row>
    <row r="697" spans="21:23" ht="15">
      <c r="U697" s="269"/>
      <c r="V697" s="269"/>
      <c r="W697" s="269"/>
    </row>
    <row r="698" spans="21:23" ht="15">
      <c r="U698" s="269"/>
      <c r="V698" s="269"/>
      <c r="W698" s="269"/>
    </row>
    <row r="699" spans="21:23" ht="15">
      <c r="U699" s="269"/>
      <c r="V699" s="269"/>
      <c r="W699" s="269"/>
    </row>
    <row r="700" spans="21:23" ht="15">
      <c r="U700" s="269"/>
      <c r="V700" s="269"/>
      <c r="W700" s="269"/>
    </row>
    <row r="701" spans="21:23" ht="15">
      <c r="U701" s="269"/>
      <c r="V701" s="269"/>
      <c r="W701" s="269"/>
    </row>
    <row r="702" spans="21:23" ht="15">
      <c r="U702" s="269"/>
      <c r="V702" s="269"/>
      <c r="W702" s="269"/>
    </row>
    <row r="703" spans="21:23" ht="15">
      <c r="U703" s="269"/>
      <c r="V703" s="269"/>
      <c r="W703" s="269"/>
    </row>
    <row r="704" spans="21:23" ht="15">
      <c r="U704" s="269"/>
      <c r="V704" s="269"/>
      <c r="W704" s="269"/>
    </row>
    <row r="705" spans="21:23" ht="15">
      <c r="U705" s="269"/>
      <c r="V705" s="269"/>
      <c r="W705" s="269"/>
    </row>
    <row r="706" spans="21:23" ht="15">
      <c r="U706" s="269"/>
      <c r="V706" s="269"/>
      <c r="W706" s="269"/>
    </row>
    <row r="707" spans="21:23" ht="15">
      <c r="U707" s="269"/>
      <c r="V707" s="269"/>
      <c r="W707" s="269"/>
    </row>
    <row r="708" spans="21:23" ht="15">
      <c r="U708" s="269"/>
      <c r="V708" s="269"/>
      <c r="W708" s="269"/>
    </row>
    <row r="709" spans="21:23" ht="15">
      <c r="U709" s="269"/>
      <c r="V709" s="269"/>
      <c r="W709" s="269"/>
    </row>
    <row r="710" spans="21:23" ht="15">
      <c r="U710" s="269"/>
      <c r="V710" s="269"/>
      <c r="W710" s="269"/>
    </row>
    <row r="711" spans="21:23" ht="15">
      <c r="U711" s="269"/>
      <c r="V711" s="269"/>
      <c r="W711" s="269"/>
    </row>
    <row r="712" spans="21:23" ht="15">
      <c r="U712" s="269"/>
      <c r="V712" s="269"/>
      <c r="W712" s="269"/>
    </row>
    <row r="713" spans="21:23" ht="15">
      <c r="U713" s="269"/>
      <c r="V713" s="269"/>
      <c r="W713" s="269"/>
    </row>
    <row r="714" spans="21:23" ht="15">
      <c r="U714" s="269"/>
      <c r="V714" s="269"/>
      <c r="W714" s="269"/>
    </row>
    <row r="715" spans="21:23" ht="15">
      <c r="U715" s="269"/>
      <c r="V715" s="269"/>
      <c r="W715" s="269"/>
    </row>
    <row r="716" spans="21:23" ht="15">
      <c r="U716" s="269"/>
      <c r="V716" s="269"/>
      <c r="W716" s="269"/>
    </row>
    <row r="717" spans="21:23" ht="15">
      <c r="U717" s="269"/>
      <c r="V717" s="269"/>
      <c r="W717" s="269"/>
    </row>
    <row r="718" spans="21:23" ht="15">
      <c r="U718" s="269"/>
      <c r="V718" s="269"/>
      <c r="W718" s="269"/>
    </row>
    <row r="719" spans="21:23" ht="15">
      <c r="U719" s="269"/>
      <c r="V719" s="269"/>
      <c r="W719" s="269"/>
    </row>
    <row r="720" spans="21:23" ht="15">
      <c r="U720" s="269"/>
      <c r="V720" s="269"/>
      <c r="W720" s="269"/>
    </row>
    <row r="721" spans="21:23" ht="15">
      <c r="U721" s="269"/>
      <c r="V721" s="269"/>
      <c r="W721" s="269"/>
    </row>
    <row r="722" spans="21:23" ht="15">
      <c r="U722" s="269"/>
      <c r="V722" s="269"/>
      <c r="W722" s="269"/>
    </row>
    <row r="723" spans="21:23" ht="15">
      <c r="U723" s="269"/>
      <c r="V723" s="269"/>
      <c r="W723" s="269"/>
    </row>
    <row r="724" spans="21:23" ht="15">
      <c r="U724" s="269"/>
      <c r="V724" s="269"/>
      <c r="W724" s="269"/>
    </row>
    <row r="725" spans="21:23" ht="15">
      <c r="U725" s="269"/>
      <c r="V725" s="269"/>
      <c r="W725" s="269"/>
    </row>
    <row r="726" spans="21:23" ht="15">
      <c r="U726" s="269"/>
      <c r="V726" s="269"/>
      <c r="W726" s="269"/>
    </row>
    <row r="727" spans="21:23" ht="15">
      <c r="U727" s="269"/>
      <c r="V727" s="269"/>
      <c r="W727" s="269"/>
    </row>
    <row r="728" spans="21:23" ht="15">
      <c r="U728" s="269"/>
      <c r="V728" s="269"/>
      <c r="W728" s="269"/>
    </row>
    <row r="729" spans="21:23" ht="15">
      <c r="U729" s="269"/>
      <c r="V729" s="269"/>
      <c r="W729" s="269"/>
    </row>
    <row r="730" spans="21:23" ht="15">
      <c r="U730" s="269"/>
      <c r="V730" s="269"/>
      <c r="W730" s="269"/>
    </row>
    <row r="731" spans="21:23" ht="15">
      <c r="U731" s="269"/>
      <c r="V731" s="269"/>
      <c r="W731" s="269"/>
    </row>
    <row r="732" spans="21:23" ht="15">
      <c r="U732" s="269"/>
      <c r="V732" s="269"/>
      <c r="W732" s="269"/>
    </row>
    <row r="733" spans="21:23" ht="15">
      <c r="U733" s="269"/>
      <c r="V733" s="269"/>
      <c r="W733" s="269"/>
    </row>
    <row r="734" spans="21:23" ht="15">
      <c r="U734" s="269"/>
      <c r="V734" s="269"/>
      <c r="W734" s="269"/>
    </row>
    <row r="735" spans="21:23" ht="15">
      <c r="U735" s="269"/>
      <c r="V735" s="269"/>
      <c r="W735" s="269"/>
    </row>
    <row r="736" spans="21:23" ht="15">
      <c r="U736" s="269"/>
      <c r="V736" s="269"/>
      <c r="W736" s="269"/>
    </row>
    <row r="737" spans="21:23" ht="15">
      <c r="U737" s="269"/>
      <c r="V737" s="269"/>
      <c r="W737" s="269"/>
    </row>
    <row r="738" spans="21:23" ht="15">
      <c r="U738" s="269"/>
      <c r="V738" s="269"/>
      <c r="W738" s="269"/>
    </row>
    <row r="739" spans="21:23" ht="15">
      <c r="U739" s="269"/>
      <c r="V739" s="269"/>
      <c r="W739" s="269"/>
    </row>
    <row r="740" spans="21:23" ht="15">
      <c r="U740" s="269"/>
      <c r="V740" s="269"/>
      <c r="W740" s="269"/>
    </row>
    <row r="741" spans="21:23" ht="15">
      <c r="U741" s="269"/>
      <c r="V741" s="269"/>
      <c r="W741" s="269"/>
    </row>
    <row r="742" spans="21:23" ht="15">
      <c r="U742" s="269"/>
      <c r="V742" s="269"/>
      <c r="W742" s="269"/>
    </row>
    <row r="743" spans="21:23" ht="15">
      <c r="U743" s="269"/>
      <c r="V743" s="269"/>
      <c r="W743" s="269"/>
    </row>
    <row r="744" spans="21:23" ht="15">
      <c r="U744" s="269"/>
      <c r="V744" s="269"/>
      <c r="W744" s="269"/>
    </row>
    <row r="745" spans="21:23" ht="15">
      <c r="U745" s="269"/>
      <c r="V745" s="269"/>
      <c r="W745" s="269"/>
    </row>
    <row r="746" spans="21:23" ht="15">
      <c r="U746" s="269"/>
      <c r="V746" s="269"/>
      <c r="W746" s="269"/>
    </row>
    <row r="747" spans="21:23" ht="15">
      <c r="U747" s="269"/>
      <c r="V747" s="269"/>
      <c r="W747" s="269"/>
    </row>
    <row r="748" spans="21:23" ht="15">
      <c r="U748" s="269"/>
      <c r="V748" s="269"/>
      <c r="W748" s="269"/>
    </row>
    <row r="749" spans="21:23" ht="15">
      <c r="U749" s="269"/>
      <c r="V749" s="269"/>
      <c r="W749" s="269"/>
    </row>
    <row r="750" spans="21:23" ht="15">
      <c r="U750" s="269"/>
      <c r="V750" s="269"/>
      <c r="W750" s="269"/>
    </row>
    <row r="751" spans="21:23" ht="15">
      <c r="U751" s="269"/>
      <c r="V751" s="269"/>
      <c r="W751" s="269"/>
    </row>
    <row r="752" spans="21:23" ht="15">
      <c r="U752" s="269"/>
      <c r="V752" s="269"/>
      <c r="W752" s="269"/>
    </row>
    <row r="753" spans="21:23" ht="15">
      <c r="U753" s="269"/>
      <c r="V753" s="269"/>
      <c r="W753" s="269"/>
    </row>
    <row r="754" spans="21:23" ht="15">
      <c r="U754" s="269"/>
      <c r="V754" s="269"/>
      <c r="W754" s="269"/>
    </row>
    <row r="755" spans="21:23" ht="15">
      <c r="U755" s="269"/>
      <c r="V755" s="269"/>
      <c r="W755" s="269"/>
    </row>
    <row r="756" spans="21:23" ht="15">
      <c r="U756" s="269"/>
      <c r="V756" s="269"/>
      <c r="W756" s="269"/>
    </row>
    <row r="757" spans="21:23" ht="15">
      <c r="U757" s="269"/>
      <c r="V757" s="269"/>
      <c r="W757" s="269"/>
    </row>
    <row r="758" spans="21:23" ht="15">
      <c r="U758" s="269"/>
      <c r="V758" s="269"/>
      <c r="W758" s="269"/>
    </row>
    <row r="759" spans="21:23" ht="15">
      <c r="U759" s="269"/>
      <c r="V759" s="269"/>
      <c r="W759" s="269"/>
    </row>
    <row r="760" spans="21:23" ht="15">
      <c r="U760" s="269"/>
      <c r="V760" s="269"/>
      <c r="W760" s="269"/>
    </row>
    <row r="761" spans="21:23" ht="15">
      <c r="U761" s="269"/>
      <c r="V761" s="269"/>
      <c r="W761" s="269"/>
    </row>
    <row r="762" spans="21:23" ht="15">
      <c r="U762" s="269"/>
      <c r="V762" s="269"/>
      <c r="W762" s="269"/>
    </row>
    <row r="763" spans="21:23" ht="15">
      <c r="U763" s="269"/>
      <c r="V763" s="269"/>
      <c r="W763" s="269"/>
    </row>
    <row r="764" spans="21:23" ht="15">
      <c r="U764" s="269"/>
      <c r="V764" s="269"/>
      <c r="W764" s="269"/>
    </row>
    <row r="765" spans="21:23" ht="15">
      <c r="U765" s="269"/>
      <c r="V765" s="269"/>
      <c r="W765" s="269"/>
    </row>
    <row r="766" spans="21:23" ht="15">
      <c r="U766" s="269"/>
      <c r="V766" s="269"/>
      <c r="W766" s="269"/>
    </row>
    <row r="767" spans="21:23" ht="15">
      <c r="U767" s="269"/>
      <c r="V767" s="269"/>
      <c r="W767" s="269"/>
    </row>
    <row r="768" spans="21:23" ht="15">
      <c r="U768" s="269"/>
      <c r="V768" s="269"/>
      <c r="W768" s="269"/>
    </row>
    <row r="769" spans="21:23" ht="15">
      <c r="U769" s="269"/>
      <c r="V769" s="269"/>
      <c r="W769" s="269"/>
    </row>
    <row r="770" spans="21:23" ht="15">
      <c r="U770" s="269"/>
      <c r="V770" s="269"/>
      <c r="W770" s="269"/>
    </row>
    <row r="771" spans="21:23" ht="15">
      <c r="U771" s="269"/>
      <c r="V771" s="269"/>
      <c r="W771" s="269"/>
    </row>
    <row r="772" spans="21:23" ht="15">
      <c r="U772" s="269"/>
      <c r="V772" s="269"/>
      <c r="W772" s="269"/>
    </row>
    <row r="773" spans="21:23" ht="15">
      <c r="U773" s="269"/>
      <c r="V773" s="269"/>
      <c r="W773" s="269"/>
    </row>
    <row r="774" spans="21:23" ht="15">
      <c r="U774" s="269"/>
      <c r="V774" s="269"/>
      <c r="W774" s="269"/>
    </row>
    <row r="775" spans="21:23" ht="15">
      <c r="U775" s="269"/>
      <c r="V775" s="269"/>
      <c r="W775" s="269"/>
    </row>
    <row r="776" spans="21:23" ht="15">
      <c r="U776" s="269"/>
      <c r="V776" s="269"/>
      <c r="W776" s="269"/>
    </row>
    <row r="777" spans="21:23" ht="15">
      <c r="U777" s="269"/>
      <c r="V777" s="269"/>
      <c r="W777" s="269"/>
    </row>
    <row r="778" spans="21:23" ht="15">
      <c r="U778" s="269"/>
      <c r="V778" s="269"/>
      <c r="W778" s="269"/>
    </row>
    <row r="779" spans="21:23" ht="15">
      <c r="U779" s="269"/>
      <c r="V779" s="269"/>
      <c r="W779" s="269"/>
    </row>
    <row r="780" spans="21:23" ht="15">
      <c r="U780" s="269"/>
      <c r="V780" s="269"/>
      <c r="W780" s="269"/>
    </row>
    <row r="781" spans="21:23" ht="15">
      <c r="U781" s="269"/>
      <c r="V781" s="269"/>
      <c r="W781" s="269"/>
    </row>
    <row r="782" spans="21:23" ht="15">
      <c r="U782" s="269"/>
      <c r="V782" s="269"/>
      <c r="W782" s="269"/>
    </row>
    <row r="783" spans="21:23" ht="15">
      <c r="U783" s="269"/>
      <c r="V783" s="269"/>
      <c r="W783" s="269"/>
    </row>
    <row r="784" spans="21:23" ht="15">
      <c r="U784" s="269"/>
      <c r="V784" s="269"/>
      <c r="W784" s="269"/>
    </row>
    <row r="785" spans="21:23" ht="15">
      <c r="U785" s="269"/>
      <c r="V785" s="269"/>
      <c r="W785" s="269"/>
    </row>
    <row r="786" spans="21:23" ht="15">
      <c r="U786" s="269"/>
      <c r="V786" s="269"/>
      <c r="W786" s="269"/>
    </row>
    <row r="787" spans="21:23" ht="15">
      <c r="U787" s="269"/>
      <c r="V787" s="269"/>
      <c r="W787" s="269"/>
    </row>
    <row r="788" spans="21:23" ht="15">
      <c r="U788" s="269"/>
      <c r="V788" s="269"/>
      <c r="W788" s="269"/>
    </row>
    <row r="789" spans="21:23" ht="15">
      <c r="U789" s="269"/>
      <c r="V789" s="269"/>
      <c r="W789" s="269"/>
    </row>
    <row r="790" spans="21:23" ht="15">
      <c r="U790" s="269"/>
      <c r="V790" s="269"/>
      <c r="W790" s="269"/>
    </row>
    <row r="791" spans="21:23" ht="15">
      <c r="U791" s="269"/>
      <c r="V791" s="269"/>
      <c r="W791" s="269"/>
    </row>
    <row r="792" spans="21:23" ht="15">
      <c r="U792" s="269"/>
      <c r="V792" s="269"/>
      <c r="W792" s="269"/>
    </row>
    <row r="793" spans="21:23" ht="15">
      <c r="U793" s="269"/>
      <c r="V793" s="269"/>
      <c r="W793" s="269"/>
    </row>
    <row r="794" spans="21:23" ht="15">
      <c r="U794" s="269"/>
      <c r="V794" s="269"/>
      <c r="W794" s="269"/>
    </row>
    <row r="795" spans="21:23" ht="15">
      <c r="U795" s="269"/>
      <c r="V795" s="269"/>
      <c r="W795" s="269"/>
    </row>
    <row r="796" spans="21:23" ht="15">
      <c r="U796" s="269"/>
      <c r="V796" s="269"/>
      <c r="W796" s="269"/>
    </row>
    <row r="797" spans="21:23" ht="15">
      <c r="U797" s="269"/>
      <c r="V797" s="269"/>
      <c r="W797" s="269"/>
    </row>
    <row r="798" spans="21:23" ht="15">
      <c r="U798" s="269"/>
      <c r="V798" s="269"/>
      <c r="W798" s="269"/>
    </row>
    <row r="799" spans="21:23" ht="15">
      <c r="U799" s="269"/>
      <c r="V799" s="269"/>
      <c r="W799" s="269"/>
    </row>
    <row r="800" spans="21:23" ht="15">
      <c r="U800" s="269"/>
      <c r="V800" s="269"/>
      <c r="W800" s="269"/>
    </row>
    <row r="801" spans="21:23" ht="15">
      <c r="U801" s="269"/>
      <c r="V801" s="269"/>
      <c r="W801" s="269"/>
    </row>
    <row r="802" spans="21:23" ht="15">
      <c r="U802" s="269"/>
      <c r="V802" s="269"/>
      <c r="W802" s="269"/>
    </row>
    <row r="803" spans="21:23" ht="15">
      <c r="U803" s="269"/>
      <c r="V803" s="269"/>
      <c r="W803" s="269"/>
    </row>
    <row r="804" spans="21:23" ht="15">
      <c r="U804" s="269"/>
      <c r="V804" s="269"/>
      <c r="W804" s="269"/>
    </row>
    <row r="805" spans="21:23" ht="15">
      <c r="U805" s="269"/>
      <c r="V805" s="269"/>
      <c r="W805" s="269"/>
    </row>
    <row r="806" spans="21:23" ht="15">
      <c r="U806" s="269"/>
      <c r="V806" s="269"/>
      <c r="W806" s="269"/>
    </row>
    <row r="807" spans="21:23" ht="15">
      <c r="U807" s="269"/>
      <c r="V807" s="269"/>
      <c r="W807" s="269"/>
    </row>
    <row r="808" spans="21:23" ht="15">
      <c r="U808" s="269"/>
      <c r="V808" s="269"/>
      <c r="W808" s="269"/>
    </row>
    <row r="809" spans="21:23" ht="15">
      <c r="U809" s="269"/>
      <c r="V809" s="269"/>
      <c r="W809" s="269"/>
    </row>
    <row r="810" spans="21:23" ht="15">
      <c r="U810" s="269"/>
      <c r="V810" s="269"/>
      <c r="W810" s="269"/>
    </row>
    <row r="811" spans="21:23" ht="15">
      <c r="U811" s="269"/>
      <c r="V811" s="269"/>
      <c r="W811" s="269"/>
    </row>
    <row r="812" spans="21:23" ht="15">
      <c r="U812" s="269"/>
      <c r="V812" s="269"/>
      <c r="W812" s="269"/>
    </row>
    <row r="813" spans="21:23" ht="15">
      <c r="U813" s="269"/>
      <c r="V813" s="269"/>
      <c r="W813" s="269"/>
    </row>
    <row r="814" spans="21:23" ht="15">
      <c r="U814" s="269"/>
      <c r="V814" s="269"/>
      <c r="W814" s="269"/>
    </row>
    <row r="815" spans="21:23" ht="15">
      <c r="U815" s="269"/>
      <c r="V815" s="269"/>
      <c r="W815" s="269"/>
    </row>
    <row r="816" spans="21:23" ht="15">
      <c r="U816" s="269"/>
      <c r="V816" s="269"/>
      <c r="W816" s="269"/>
    </row>
    <row r="817" spans="21:23" ht="15">
      <c r="U817" s="269"/>
      <c r="V817" s="269"/>
      <c r="W817" s="269"/>
    </row>
    <row r="818" spans="21:23" ht="15">
      <c r="U818" s="269"/>
      <c r="V818" s="269"/>
      <c r="W818" s="269"/>
    </row>
    <row r="819" spans="21:23" ht="15">
      <c r="U819" s="269"/>
      <c r="V819" s="269"/>
      <c r="W819" s="269"/>
    </row>
    <row r="820" spans="21:23" ht="15">
      <c r="U820" s="269"/>
      <c r="V820" s="269"/>
      <c r="W820" s="269"/>
    </row>
    <row r="821" spans="21:23" ht="15">
      <c r="U821" s="269"/>
      <c r="V821" s="269"/>
      <c r="W821" s="269"/>
    </row>
    <row r="822" spans="21:23" ht="15">
      <c r="U822" s="269"/>
      <c r="V822" s="269"/>
      <c r="W822" s="269"/>
    </row>
    <row r="823" spans="21:23" ht="15">
      <c r="U823" s="269"/>
      <c r="V823" s="269"/>
      <c r="W823" s="269"/>
    </row>
    <row r="824" spans="21:23" ht="15">
      <c r="U824" s="269"/>
      <c r="V824" s="269"/>
      <c r="W824" s="269"/>
    </row>
    <row r="825" spans="21:23" ht="15">
      <c r="U825" s="269"/>
      <c r="V825" s="269"/>
      <c r="W825" s="269"/>
    </row>
    <row r="826" spans="21:23" ht="15">
      <c r="U826" s="269"/>
      <c r="V826" s="269"/>
      <c r="W826" s="269"/>
    </row>
    <row r="827" spans="21:23" ht="15">
      <c r="U827" s="269"/>
      <c r="V827" s="269"/>
      <c r="W827" s="269"/>
    </row>
    <row r="828" spans="21:23" ht="15">
      <c r="U828" s="269"/>
      <c r="V828" s="269"/>
      <c r="W828" s="269"/>
    </row>
    <row r="829" spans="21:23" ht="15">
      <c r="U829" s="269"/>
      <c r="V829" s="269"/>
      <c r="W829" s="269"/>
    </row>
    <row r="830" spans="21:23" ht="15">
      <c r="U830" s="269"/>
      <c r="V830" s="269"/>
      <c r="W830" s="269"/>
    </row>
    <row r="831" spans="21:23" ht="15">
      <c r="U831" s="269"/>
      <c r="V831" s="269"/>
      <c r="W831" s="269"/>
    </row>
    <row r="832" spans="21:23" ht="15">
      <c r="U832" s="269"/>
      <c r="V832" s="269"/>
      <c r="W832" s="269"/>
    </row>
    <row r="833" spans="21:23" ht="15">
      <c r="U833" s="269"/>
      <c r="V833" s="269"/>
      <c r="W833" s="269"/>
    </row>
    <row r="834" spans="21:23" ht="15">
      <c r="U834" s="269"/>
      <c r="V834" s="269"/>
      <c r="W834" s="269"/>
    </row>
    <row r="835" spans="21:23" ht="15">
      <c r="U835" s="269"/>
      <c r="V835" s="269"/>
      <c r="W835" s="269"/>
    </row>
    <row r="836" spans="21:23" ht="15">
      <c r="U836" s="269"/>
      <c r="V836" s="269"/>
      <c r="W836" s="269"/>
    </row>
    <row r="837" spans="21:23" ht="15">
      <c r="U837" s="269"/>
      <c r="V837" s="269"/>
      <c r="W837" s="269"/>
    </row>
    <row r="838" spans="21:23" ht="15">
      <c r="U838" s="269"/>
      <c r="V838" s="269"/>
      <c r="W838" s="269"/>
    </row>
    <row r="839" spans="21:23" ht="15">
      <c r="U839" s="269"/>
      <c r="V839" s="269"/>
      <c r="W839" s="269"/>
    </row>
    <row r="840" spans="21:23" ht="15">
      <c r="U840" s="269"/>
      <c r="V840" s="269"/>
      <c r="W840" s="269"/>
    </row>
    <row r="841" spans="21:23" ht="15">
      <c r="U841" s="269"/>
      <c r="V841" s="269"/>
      <c r="W841" s="269"/>
    </row>
    <row r="842" spans="21:23" ht="15">
      <c r="U842" s="269"/>
      <c r="V842" s="269"/>
      <c r="W842" s="269"/>
    </row>
    <row r="843" spans="21:23" ht="15">
      <c r="U843" s="269"/>
      <c r="V843" s="269"/>
      <c r="W843" s="269"/>
    </row>
    <row r="844" spans="21:23" ht="15">
      <c r="U844" s="269"/>
      <c r="V844" s="269"/>
      <c r="W844" s="269"/>
    </row>
    <row r="845" spans="21:23" ht="15">
      <c r="U845" s="269"/>
      <c r="V845" s="269"/>
      <c r="W845" s="269"/>
    </row>
    <row r="846" spans="21:23" ht="15">
      <c r="U846" s="269"/>
      <c r="V846" s="269"/>
      <c r="W846" s="269"/>
    </row>
    <row r="847" spans="21:23" ht="15">
      <c r="U847" s="269"/>
      <c r="V847" s="269"/>
      <c r="W847" s="269"/>
    </row>
    <row r="848" spans="21:23" ht="15">
      <c r="U848" s="269"/>
      <c r="V848" s="269"/>
      <c r="W848" s="269"/>
    </row>
    <row r="849" spans="21:23" ht="15">
      <c r="U849" s="269"/>
      <c r="V849" s="269"/>
      <c r="W849" s="269"/>
    </row>
    <row r="850" spans="21:23" ht="15">
      <c r="U850" s="269"/>
      <c r="V850" s="269"/>
      <c r="W850" s="269"/>
    </row>
    <row r="851" spans="21:23" ht="15">
      <c r="U851" s="269"/>
      <c r="V851" s="269"/>
      <c r="W851" s="269"/>
    </row>
    <row r="852" spans="21:23" ht="15">
      <c r="U852" s="269"/>
      <c r="V852" s="269"/>
      <c r="W852" s="269"/>
    </row>
    <row r="853" spans="21:23" ht="15">
      <c r="U853" s="269"/>
      <c r="V853" s="269"/>
      <c r="W853" s="269"/>
    </row>
    <row r="854" spans="21:23" ht="15">
      <c r="U854" s="269"/>
      <c r="V854" s="269"/>
      <c r="W854" s="269"/>
    </row>
    <row r="855" spans="21:23" ht="15">
      <c r="U855" s="269"/>
      <c r="V855" s="269"/>
      <c r="W855" s="269"/>
    </row>
    <row r="856" spans="21:23" ht="15">
      <c r="U856" s="269"/>
      <c r="V856" s="269"/>
      <c r="W856" s="269"/>
    </row>
    <row r="857" spans="21:23" ht="15">
      <c r="U857" s="269"/>
      <c r="V857" s="269"/>
      <c r="W857" s="269"/>
    </row>
    <row r="858" spans="21:23" ht="15">
      <c r="U858" s="269"/>
      <c r="V858" s="269"/>
      <c r="W858" s="269"/>
    </row>
    <row r="859" spans="21:23" ht="15">
      <c r="U859" s="269"/>
      <c r="V859" s="269"/>
      <c r="W859" s="269"/>
    </row>
    <row r="860" spans="21:23" ht="15">
      <c r="U860" s="269"/>
      <c r="V860" s="269"/>
      <c r="W860" s="269"/>
    </row>
    <row r="861" spans="21:23" ht="15">
      <c r="U861" s="269"/>
      <c r="V861" s="269"/>
      <c r="W861" s="269"/>
    </row>
    <row r="862" spans="21:23" ht="15">
      <c r="U862" s="269"/>
      <c r="V862" s="269"/>
      <c r="W862" s="269"/>
    </row>
    <row r="863" spans="21:23" ht="15">
      <c r="U863" s="269"/>
      <c r="V863" s="269"/>
      <c r="W863" s="269"/>
    </row>
    <row r="864" spans="21:23" ht="15">
      <c r="U864" s="269"/>
      <c r="V864" s="269"/>
      <c r="W864" s="269"/>
    </row>
    <row r="865" spans="21:23" ht="15">
      <c r="U865" s="269"/>
      <c r="V865" s="269"/>
      <c r="W865" s="269"/>
    </row>
    <row r="866" spans="21:23" ht="15">
      <c r="U866" s="269"/>
      <c r="V866" s="269"/>
      <c r="W866" s="269"/>
    </row>
    <row r="867" spans="21:23" ht="15">
      <c r="U867" s="269"/>
      <c r="V867" s="269"/>
      <c r="W867" s="269"/>
    </row>
    <row r="868" spans="21:23" ht="15">
      <c r="U868" s="269"/>
      <c r="V868" s="269"/>
      <c r="W868" s="269"/>
    </row>
    <row r="869" spans="21:23" ht="15">
      <c r="U869" s="269"/>
      <c r="V869" s="269"/>
      <c r="W869" s="269"/>
    </row>
    <row r="870" spans="21:23" ht="15">
      <c r="U870" s="269"/>
      <c r="V870" s="269"/>
      <c r="W870" s="269"/>
    </row>
    <row r="871" spans="21:23" ht="15">
      <c r="U871" s="269"/>
      <c r="V871" s="269"/>
      <c r="W871" s="269"/>
    </row>
    <row r="872" spans="21:23" ht="15">
      <c r="U872" s="269"/>
      <c r="V872" s="269"/>
      <c r="W872" s="269"/>
    </row>
    <row r="873" spans="21:23" ht="15">
      <c r="U873" s="269"/>
      <c r="V873" s="269"/>
      <c r="W873" s="269"/>
    </row>
    <row r="874" spans="21:23" ht="15">
      <c r="U874" s="269"/>
      <c r="V874" s="269"/>
      <c r="W874" s="269"/>
    </row>
    <row r="875" spans="21:23" ht="15">
      <c r="U875" s="269"/>
      <c r="V875" s="269"/>
      <c r="W875" s="269"/>
    </row>
    <row r="876" spans="21:23" ht="15">
      <c r="U876" s="269"/>
      <c r="V876" s="269"/>
      <c r="W876" s="269"/>
    </row>
    <row r="877" spans="21:23" ht="15">
      <c r="U877" s="269"/>
      <c r="V877" s="269"/>
      <c r="W877" s="269"/>
    </row>
    <row r="878" spans="21:23" ht="15">
      <c r="U878" s="269"/>
      <c r="V878" s="269"/>
      <c r="W878" s="269"/>
    </row>
    <row r="879" spans="21:23" ht="15">
      <c r="U879" s="269"/>
      <c r="V879" s="269"/>
      <c r="W879" s="269"/>
    </row>
    <row r="880" spans="21:23" ht="15">
      <c r="U880" s="269"/>
      <c r="V880" s="269"/>
      <c r="W880" s="269"/>
    </row>
    <row r="881" spans="21:23" ht="15">
      <c r="U881" s="269"/>
      <c r="V881" s="269"/>
      <c r="W881" s="269"/>
    </row>
    <row r="882" spans="21:23" ht="15">
      <c r="U882" s="269"/>
      <c r="V882" s="269"/>
      <c r="W882" s="269"/>
    </row>
    <row r="883" spans="21:23" ht="15">
      <c r="U883" s="269"/>
      <c r="V883" s="269"/>
      <c r="W883" s="269"/>
    </row>
    <row r="884" spans="21:23" ht="15">
      <c r="U884" s="269"/>
      <c r="V884" s="269"/>
      <c r="W884" s="269"/>
    </row>
    <row r="885" spans="21:23" ht="15">
      <c r="U885" s="269"/>
      <c r="V885" s="269"/>
      <c r="W885" s="269"/>
    </row>
    <row r="886" spans="21:23" ht="15">
      <c r="U886" s="269"/>
      <c r="V886" s="269"/>
      <c r="W886" s="269"/>
    </row>
    <row r="887" spans="21:23" ht="15">
      <c r="U887" s="269"/>
      <c r="V887" s="269"/>
      <c r="W887" s="269"/>
    </row>
    <row r="888" spans="21:23" ht="15">
      <c r="U888" s="269"/>
      <c r="V888" s="269"/>
      <c r="W888" s="269"/>
    </row>
    <row r="889" spans="21:23" ht="15">
      <c r="U889" s="269"/>
      <c r="V889" s="269"/>
      <c r="W889" s="269"/>
    </row>
    <row r="890" spans="21:23" ht="15">
      <c r="U890" s="269"/>
      <c r="V890" s="269"/>
      <c r="W890" s="269"/>
    </row>
    <row r="891" spans="21:23" ht="15">
      <c r="U891" s="269"/>
      <c r="V891" s="269"/>
      <c r="W891" s="269"/>
    </row>
    <row r="892" spans="21:23" ht="15">
      <c r="U892" s="269"/>
      <c r="V892" s="269"/>
      <c r="W892" s="269"/>
    </row>
    <row r="893" spans="21:23" ht="15">
      <c r="U893" s="269"/>
      <c r="V893" s="269"/>
      <c r="W893" s="269"/>
    </row>
    <row r="894" spans="21:23" ht="15">
      <c r="U894" s="269"/>
      <c r="V894" s="269"/>
      <c r="W894" s="269"/>
    </row>
    <row r="895" spans="21:23" ht="15">
      <c r="U895" s="269"/>
      <c r="V895" s="269"/>
      <c r="W895" s="269"/>
    </row>
    <row r="896" spans="21:23" ht="15">
      <c r="U896" s="269"/>
      <c r="V896" s="269"/>
      <c r="W896" s="269"/>
    </row>
    <row r="897" spans="21:23" ht="15">
      <c r="U897" s="269"/>
      <c r="V897" s="269"/>
      <c r="W897" s="269"/>
    </row>
    <row r="898" spans="21:23" ht="15">
      <c r="U898" s="269"/>
      <c r="V898" s="269"/>
      <c r="W898" s="269"/>
    </row>
    <row r="899" spans="21:23" ht="15">
      <c r="U899" s="269"/>
      <c r="V899" s="269"/>
      <c r="W899" s="269"/>
    </row>
    <row r="900" spans="21:23" ht="15">
      <c r="U900" s="269"/>
      <c r="V900" s="269"/>
      <c r="W900" s="269"/>
    </row>
    <row r="901" spans="21:23" ht="15">
      <c r="U901" s="269"/>
      <c r="V901" s="269"/>
      <c r="W901" s="269"/>
    </row>
    <row r="902" spans="21:23" ht="15">
      <c r="U902" s="269"/>
      <c r="V902" s="269"/>
      <c r="W902" s="269"/>
    </row>
    <row r="903" spans="21:23" ht="15">
      <c r="U903" s="269"/>
      <c r="V903" s="269"/>
      <c r="W903" s="269"/>
    </row>
    <row r="904" spans="21:23" ht="15">
      <c r="U904" s="269"/>
      <c r="V904" s="269"/>
      <c r="W904" s="269"/>
    </row>
    <row r="905" spans="21:23" ht="15">
      <c r="U905" s="269"/>
      <c r="V905" s="269"/>
      <c r="W905" s="269"/>
    </row>
    <row r="906" spans="21:23" ht="15">
      <c r="U906" s="269"/>
      <c r="V906" s="269"/>
      <c r="W906" s="269"/>
    </row>
    <row r="907" spans="21:23" ht="15">
      <c r="U907" s="269"/>
      <c r="V907" s="269"/>
      <c r="W907" s="269"/>
    </row>
    <row r="908" spans="21:23" ht="15">
      <c r="U908" s="269"/>
      <c r="V908" s="269"/>
      <c r="W908" s="269"/>
    </row>
    <row r="909" spans="21:23" ht="15">
      <c r="U909" s="269"/>
      <c r="V909" s="269"/>
      <c r="W909" s="269"/>
    </row>
    <row r="910" spans="21:23" ht="15">
      <c r="U910" s="269"/>
      <c r="V910" s="269"/>
      <c r="W910" s="269"/>
    </row>
    <row r="911" spans="21:23" ht="15">
      <c r="U911" s="269"/>
      <c r="V911" s="269"/>
      <c r="W911" s="269"/>
    </row>
    <row r="912" spans="21:23" ht="15">
      <c r="U912" s="269"/>
      <c r="V912" s="269"/>
      <c r="W912" s="269"/>
    </row>
    <row r="913" spans="21:23" ht="15">
      <c r="U913" s="269"/>
      <c r="V913" s="269"/>
      <c r="W913" s="269"/>
    </row>
    <row r="914" spans="21:23" ht="15">
      <c r="U914" s="269"/>
      <c r="V914" s="269"/>
      <c r="W914" s="269"/>
    </row>
    <row r="915" spans="21:23" ht="15">
      <c r="U915" s="269"/>
      <c r="V915" s="269"/>
      <c r="W915" s="269"/>
    </row>
    <row r="916" spans="21:23" ht="15">
      <c r="U916" s="269"/>
      <c r="V916" s="269"/>
      <c r="W916" s="269"/>
    </row>
    <row r="917" spans="21:23" ht="15">
      <c r="U917" s="269"/>
      <c r="V917" s="269"/>
      <c r="W917" s="269"/>
    </row>
    <row r="918" spans="21:23" ht="15">
      <c r="U918" s="269"/>
      <c r="V918" s="269"/>
      <c r="W918" s="269"/>
    </row>
    <row r="919" spans="21:23" ht="15">
      <c r="U919" s="269"/>
      <c r="V919" s="269"/>
      <c r="W919" s="269"/>
    </row>
    <row r="920" spans="21:23" ht="15">
      <c r="U920" s="269"/>
      <c r="V920" s="269"/>
      <c r="W920" s="269"/>
    </row>
    <row r="921" spans="21:23" ht="15">
      <c r="U921" s="269"/>
      <c r="V921" s="269"/>
      <c r="W921" s="269"/>
    </row>
    <row r="922" spans="21:23" ht="15">
      <c r="U922" s="269"/>
      <c r="V922" s="269"/>
      <c r="W922" s="269"/>
    </row>
    <row r="923" spans="21:23" ht="15">
      <c r="U923" s="269"/>
      <c r="V923" s="269"/>
      <c r="W923" s="269"/>
    </row>
    <row r="924" spans="21:23" ht="15">
      <c r="U924" s="269"/>
      <c r="V924" s="269"/>
      <c r="W924" s="269"/>
    </row>
    <row r="925" spans="21:23" ht="15">
      <c r="U925" s="269"/>
      <c r="V925" s="269"/>
      <c r="W925" s="269"/>
    </row>
    <row r="926" spans="21:23" ht="15">
      <c r="U926" s="269"/>
      <c r="V926" s="269"/>
      <c r="W926" s="269"/>
    </row>
    <row r="927" spans="21:23" ht="15">
      <c r="U927" s="269"/>
      <c r="V927" s="269"/>
      <c r="W927" s="269"/>
    </row>
    <row r="928" spans="21:23" ht="15">
      <c r="U928" s="269"/>
      <c r="V928" s="269"/>
      <c r="W928" s="269"/>
    </row>
    <row r="929" spans="21:23" ht="15">
      <c r="U929" s="269"/>
      <c r="V929" s="269"/>
      <c r="W929" s="269"/>
    </row>
    <row r="930" spans="21:23" ht="15">
      <c r="U930" s="269"/>
      <c r="V930" s="269"/>
      <c r="W930" s="269"/>
    </row>
    <row r="931" spans="21:23" ht="15">
      <c r="U931" s="269"/>
      <c r="V931" s="269"/>
      <c r="W931" s="269"/>
    </row>
    <row r="932" spans="21:23" ht="15">
      <c r="U932" s="269"/>
      <c r="V932" s="269"/>
      <c r="W932" s="269"/>
    </row>
    <row r="933" spans="21:23" ht="15">
      <c r="U933" s="269"/>
      <c r="V933" s="269"/>
      <c r="W933" s="269"/>
    </row>
    <row r="934" spans="21:23" ht="15">
      <c r="U934" s="269"/>
      <c r="V934" s="269"/>
      <c r="W934" s="269"/>
    </row>
    <row r="935" spans="21:23" ht="15">
      <c r="U935" s="269"/>
      <c r="V935" s="269"/>
      <c r="W935" s="269"/>
    </row>
    <row r="936" spans="21:23" ht="15">
      <c r="U936" s="269"/>
      <c r="V936" s="269"/>
      <c r="W936" s="269"/>
    </row>
    <row r="937" spans="21:23" ht="15">
      <c r="U937" s="269"/>
      <c r="V937" s="269"/>
      <c r="W937" s="269"/>
    </row>
    <row r="938" spans="21:23" ht="15">
      <c r="U938" s="269"/>
      <c r="V938" s="269"/>
      <c r="W938" s="269"/>
    </row>
    <row r="939" spans="21:23" ht="15">
      <c r="U939" s="269"/>
      <c r="V939" s="269"/>
      <c r="W939" s="269"/>
    </row>
    <row r="940" spans="21:23" ht="15">
      <c r="U940" s="269"/>
      <c r="V940" s="269"/>
      <c r="W940" s="269"/>
    </row>
    <row r="941" spans="21:23" ht="15">
      <c r="U941" s="269"/>
      <c r="V941" s="269"/>
      <c r="W941" s="269"/>
    </row>
  </sheetData>
  <sheetProtection/>
  <mergeCells count="28">
    <mergeCell ref="F4:G4"/>
    <mergeCell ref="H4:I4"/>
    <mergeCell ref="A1:AO1"/>
    <mergeCell ref="A2:AO2"/>
    <mergeCell ref="AB3:AC3"/>
    <mergeCell ref="AO3:AP3"/>
    <mergeCell ref="A4:A5"/>
    <mergeCell ref="B4:B5"/>
    <mergeCell ref="C4:C5"/>
    <mergeCell ref="D4:D5"/>
    <mergeCell ref="E4:E5"/>
    <mergeCell ref="AR4:AR5"/>
    <mergeCell ref="J4:M4"/>
    <mergeCell ref="X4:Y4"/>
    <mergeCell ref="Z4:AA4"/>
    <mergeCell ref="AB4:AC4"/>
    <mergeCell ref="AD4:AE4"/>
    <mergeCell ref="AF4:AG4"/>
    <mergeCell ref="AH4:AI4"/>
    <mergeCell ref="AP4:AQ5"/>
    <mergeCell ref="R4:S4"/>
    <mergeCell ref="N4:O4"/>
    <mergeCell ref="P4:Q5"/>
    <mergeCell ref="AJ4:AK4"/>
    <mergeCell ref="AL4:AM4"/>
    <mergeCell ref="AN4:AO4"/>
    <mergeCell ref="V4:W4"/>
    <mergeCell ref="T4:U4"/>
  </mergeCells>
  <printOptions/>
  <pageMargins left="0.29" right="0.2"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W94"/>
  <sheetViews>
    <sheetView tabSelected="1" zoomScale="90" zoomScaleNormal="9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J12" sqref="J12"/>
    </sheetView>
  </sheetViews>
  <sheetFormatPr defaultColWidth="9.140625" defaultRowHeight="12.75"/>
  <cols>
    <col min="1" max="1" width="4.140625" style="727" customWidth="1"/>
    <col min="2" max="2" width="21.00390625" style="729" customWidth="1"/>
    <col min="3" max="3" width="6.7109375" style="729" customWidth="1"/>
    <col min="4" max="4" width="9.7109375" style="729" customWidth="1"/>
    <col min="5" max="5" width="8.57421875" style="729" customWidth="1"/>
    <col min="6" max="6" width="8.00390625" style="729" customWidth="1"/>
    <col min="7" max="7" width="7.57421875" style="729" customWidth="1"/>
    <col min="8" max="8" width="10.00390625" style="729" customWidth="1"/>
    <col min="9" max="9" width="8.57421875" style="729" customWidth="1"/>
    <col min="10" max="10" width="9.00390625" style="729" customWidth="1"/>
    <col min="11" max="11" width="9.57421875" style="729" customWidth="1"/>
    <col min="12" max="12" width="7.28125" style="729" customWidth="1"/>
    <col min="13" max="16" width="8.57421875" style="729" customWidth="1"/>
    <col min="17" max="17" width="9.140625" style="729" customWidth="1"/>
    <col min="18" max="16384" width="9.140625" style="729" customWidth="1"/>
  </cols>
  <sheetData>
    <row r="1" spans="1:17" ht="15.75">
      <c r="A1" s="762"/>
      <c r="B1" s="763"/>
      <c r="C1" s="763"/>
      <c r="D1" s="763"/>
      <c r="E1" s="763"/>
      <c r="I1" s="763"/>
      <c r="J1" s="763"/>
      <c r="K1" s="763"/>
      <c r="L1" s="763"/>
      <c r="M1" s="763"/>
      <c r="N1" s="862" t="s">
        <v>787</v>
      </c>
      <c r="O1" s="862"/>
      <c r="P1" s="862"/>
      <c r="Q1" s="763"/>
    </row>
    <row r="2" spans="1:17" s="667" customFormat="1" ht="22.5" customHeight="1">
      <c r="A2" s="863" t="s">
        <v>803</v>
      </c>
      <c r="B2" s="863"/>
      <c r="C2" s="863"/>
      <c r="D2" s="863"/>
      <c r="E2" s="863"/>
      <c r="F2" s="863"/>
      <c r="G2" s="863"/>
      <c r="H2" s="863"/>
      <c r="I2" s="863"/>
      <c r="J2" s="863"/>
      <c r="K2" s="863"/>
      <c r="L2" s="863"/>
      <c r="M2" s="863"/>
      <c r="N2" s="863"/>
      <c r="O2" s="863"/>
      <c r="P2" s="863"/>
      <c r="Q2" s="863"/>
    </row>
    <row r="3" spans="1:23" s="667" customFormat="1" ht="23.25" customHeight="1">
      <c r="A3" s="864" t="s">
        <v>812</v>
      </c>
      <c r="B3" s="865"/>
      <c r="C3" s="865"/>
      <c r="D3" s="865"/>
      <c r="E3" s="865"/>
      <c r="F3" s="865"/>
      <c r="G3" s="865"/>
      <c r="H3" s="865"/>
      <c r="I3" s="865"/>
      <c r="J3" s="865"/>
      <c r="K3" s="865"/>
      <c r="L3" s="865"/>
      <c r="M3" s="865"/>
      <c r="N3" s="865"/>
      <c r="O3" s="865"/>
      <c r="P3" s="865"/>
      <c r="Q3" s="865"/>
      <c r="R3" s="764"/>
      <c r="S3" s="764"/>
      <c r="T3" s="764"/>
      <c r="U3" s="764"/>
      <c r="V3" s="764"/>
      <c r="W3" s="764"/>
    </row>
    <row r="4" spans="1:23" s="667" customFormat="1" ht="21.75" customHeight="1">
      <c r="A4" s="765"/>
      <c r="B4" s="766"/>
      <c r="C4" s="765"/>
      <c r="D4" s="765"/>
      <c r="E4" s="765"/>
      <c r="F4" s="765"/>
      <c r="G4" s="765"/>
      <c r="H4" s="765"/>
      <c r="I4" s="765"/>
      <c r="J4" s="765"/>
      <c r="K4" s="765"/>
      <c r="L4" s="765"/>
      <c r="M4" s="765" t="s">
        <v>710</v>
      </c>
      <c r="N4" s="765"/>
      <c r="O4" s="765"/>
      <c r="P4" s="765"/>
      <c r="Q4" s="765"/>
      <c r="R4" s="764"/>
      <c r="S4" s="764"/>
      <c r="T4" s="764"/>
      <c r="U4" s="764"/>
      <c r="V4" s="764"/>
      <c r="W4" s="764"/>
    </row>
    <row r="5" spans="1:23" s="667" customFormat="1" ht="26.25" customHeight="1">
      <c r="A5" s="860" t="s">
        <v>643</v>
      </c>
      <c r="B5" s="860" t="s">
        <v>777</v>
      </c>
      <c r="C5" s="860" t="s">
        <v>645</v>
      </c>
      <c r="D5" s="837" t="s">
        <v>646</v>
      </c>
      <c r="E5" s="861" t="s">
        <v>332</v>
      </c>
      <c r="F5" s="861"/>
      <c r="G5" s="861"/>
      <c r="H5" s="861"/>
      <c r="I5" s="861" t="s">
        <v>806</v>
      </c>
      <c r="J5" s="861"/>
      <c r="K5" s="861"/>
      <c r="L5" s="861"/>
      <c r="M5" s="861" t="s">
        <v>807</v>
      </c>
      <c r="N5" s="861"/>
      <c r="O5" s="861"/>
      <c r="P5" s="861"/>
      <c r="Q5" s="785"/>
      <c r="R5" s="764"/>
      <c r="S5" s="764"/>
      <c r="T5" s="764"/>
      <c r="U5" s="764"/>
      <c r="V5" s="764"/>
      <c r="W5" s="764"/>
    </row>
    <row r="6" spans="1:17" s="767" customFormat="1" ht="30" customHeight="1">
      <c r="A6" s="860"/>
      <c r="B6" s="860"/>
      <c r="C6" s="867"/>
      <c r="D6" s="867"/>
      <c r="E6" s="860" t="s">
        <v>805</v>
      </c>
      <c r="F6" s="836" t="s">
        <v>767</v>
      </c>
      <c r="G6" s="836"/>
      <c r="H6" s="836"/>
      <c r="I6" s="860" t="s">
        <v>805</v>
      </c>
      <c r="J6" s="836" t="s">
        <v>767</v>
      </c>
      <c r="K6" s="836"/>
      <c r="L6" s="836"/>
      <c r="M6" s="860" t="s">
        <v>805</v>
      </c>
      <c r="N6" s="860" t="s">
        <v>767</v>
      </c>
      <c r="O6" s="860"/>
      <c r="P6" s="860"/>
      <c r="Q6" s="858" t="s">
        <v>369</v>
      </c>
    </row>
    <row r="7" spans="1:17" s="767" customFormat="1" ht="44.25" customHeight="1">
      <c r="A7" s="860"/>
      <c r="B7" s="860"/>
      <c r="C7" s="867"/>
      <c r="D7" s="867"/>
      <c r="E7" s="860"/>
      <c r="F7" s="784" t="s">
        <v>765</v>
      </c>
      <c r="G7" s="784" t="s">
        <v>766</v>
      </c>
      <c r="H7" s="784" t="s">
        <v>773</v>
      </c>
      <c r="I7" s="860"/>
      <c r="J7" s="784" t="s">
        <v>765</v>
      </c>
      <c r="K7" s="784" t="s">
        <v>766</v>
      </c>
      <c r="L7" s="784" t="s">
        <v>773</v>
      </c>
      <c r="M7" s="866"/>
      <c r="N7" s="784" t="s">
        <v>765</v>
      </c>
      <c r="O7" s="784" t="s">
        <v>766</v>
      </c>
      <c r="P7" s="784" t="s">
        <v>773</v>
      </c>
      <c r="Q7" s="859"/>
    </row>
    <row r="8" spans="1:17" s="768" customFormat="1" ht="24.75" customHeight="1">
      <c r="A8" s="784"/>
      <c r="B8" s="784" t="s">
        <v>378</v>
      </c>
      <c r="C8" s="784"/>
      <c r="D8" s="788">
        <f>D9+D16+D51+D66+D67</f>
        <v>5843391</v>
      </c>
      <c r="E8" s="788">
        <f>E9+E16+E51+E66+E67</f>
        <v>1363788</v>
      </c>
      <c r="F8" s="788">
        <f aca="true" t="shared" si="0" ref="F8:P8">F9+F16+F51+F66+F67</f>
        <v>399554</v>
      </c>
      <c r="G8" s="788">
        <f t="shared" si="0"/>
        <v>84382</v>
      </c>
      <c r="H8" s="788">
        <f t="shared" si="0"/>
        <v>879852</v>
      </c>
      <c r="I8" s="788">
        <f>I9+I16+I51+I66+I67</f>
        <v>2234603</v>
      </c>
      <c r="J8" s="788">
        <f t="shared" si="0"/>
        <v>1168103</v>
      </c>
      <c r="K8" s="788">
        <f t="shared" si="0"/>
        <v>91000</v>
      </c>
      <c r="L8" s="788">
        <f t="shared" si="0"/>
        <v>975500</v>
      </c>
      <c r="M8" s="788">
        <f>M9+M16+M51+M66+M67</f>
        <v>2245000</v>
      </c>
      <c r="N8" s="788">
        <f t="shared" si="0"/>
        <v>1200000</v>
      </c>
      <c r="O8" s="788">
        <f t="shared" si="0"/>
        <v>62500</v>
      </c>
      <c r="P8" s="788">
        <f t="shared" si="0"/>
        <v>982500</v>
      </c>
      <c r="Q8" s="788"/>
    </row>
    <row r="9" spans="1:17" s="768" customFormat="1" ht="72" customHeight="1">
      <c r="A9" s="784" t="s">
        <v>9</v>
      </c>
      <c r="B9" s="789" t="s">
        <v>795</v>
      </c>
      <c r="C9" s="784"/>
      <c r="D9" s="788">
        <f>SUM(D10:D15)</f>
        <v>24500</v>
      </c>
      <c r="E9" s="788">
        <f aca="true" t="shared" si="1" ref="E9:P9">SUM(E10:E15)</f>
        <v>9500</v>
      </c>
      <c r="F9" s="788">
        <f t="shared" si="1"/>
        <v>0</v>
      </c>
      <c r="G9" s="788">
        <f t="shared" si="1"/>
        <v>9500</v>
      </c>
      <c r="H9" s="788">
        <f t="shared" si="1"/>
        <v>0</v>
      </c>
      <c r="I9" s="788">
        <f t="shared" si="1"/>
        <v>10000</v>
      </c>
      <c r="J9" s="788">
        <f t="shared" si="1"/>
        <v>0</v>
      </c>
      <c r="K9" s="788">
        <f t="shared" si="1"/>
        <v>10000</v>
      </c>
      <c r="L9" s="788">
        <f t="shared" si="1"/>
        <v>0</v>
      </c>
      <c r="M9" s="788">
        <f t="shared" si="1"/>
        <v>5000</v>
      </c>
      <c r="N9" s="788">
        <f t="shared" si="1"/>
        <v>0</v>
      </c>
      <c r="O9" s="788">
        <f t="shared" si="1"/>
        <v>5000</v>
      </c>
      <c r="P9" s="788">
        <f t="shared" si="1"/>
        <v>0</v>
      </c>
      <c r="Q9" s="788"/>
    </row>
    <row r="10" spans="1:17" s="769" customFormat="1" ht="60.75" customHeight="1">
      <c r="A10" s="787">
        <v>1</v>
      </c>
      <c r="B10" s="790" t="s">
        <v>769</v>
      </c>
      <c r="C10" s="787"/>
      <c r="D10" s="791">
        <f aca="true" t="shared" si="2" ref="D10:D15">E10+I10+M10</f>
        <v>1000</v>
      </c>
      <c r="E10" s="791">
        <f aca="true" t="shared" si="3" ref="E10:E15">F10+G10+H10</f>
        <v>1000</v>
      </c>
      <c r="F10" s="791"/>
      <c r="G10" s="791">
        <v>1000</v>
      </c>
      <c r="H10" s="791"/>
      <c r="I10" s="792">
        <f>SUM(J10:L10)</f>
        <v>0</v>
      </c>
      <c r="J10" s="791"/>
      <c r="K10" s="791"/>
      <c r="L10" s="791"/>
      <c r="M10" s="792">
        <f>SUM(N10:P10)</f>
        <v>0</v>
      </c>
      <c r="N10" s="791"/>
      <c r="O10" s="791"/>
      <c r="P10" s="791"/>
      <c r="Q10" s="791"/>
    </row>
    <row r="11" spans="1:17" s="770" customFormat="1" ht="40.5" customHeight="1">
      <c r="A11" s="787">
        <v>2</v>
      </c>
      <c r="B11" s="790" t="s">
        <v>750</v>
      </c>
      <c r="C11" s="784"/>
      <c r="D11" s="791">
        <f t="shared" si="2"/>
        <v>1000</v>
      </c>
      <c r="E11" s="791">
        <f t="shared" si="3"/>
        <v>1000</v>
      </c>
      <c r="F11" s="788"/>
      <c r="G11" s="791">
        <v>1000</v>
      </c>
      <c r="H11" s="788"/>
      <c r="I11" s="792">
        <f>SUM(J11:L11)</f>
        <v>0</v>
      </c>
      <c r="J11" s="788"/>
      <c r="K11" s="788"/>
      <c r="L11" s="788"/>
      <c r="M11" s="792">
        <f>SUM(N11:P11)</f>
        <v>0</v>
      </c>
      <c r="N11" s="788"/>
      <c r="O11" s="788"/>
      <c r="P11" s="788"/>
      <c r="Q11" s="788"/>
    </row>
    <row r="12" spans="1:17" s="770" customFormat="1" ht="66" customHeight="1">
      <c r="A12" s="787">
        <v>3</v>
      </c>
      <c r="B12" s="790" t="s">
        <v>751</v>
      </c>
      <c r="C12" s="784"/>
      <c r="D12" s="791">
        <f t="shared" si="2"/>
        <v>500</v>
      </c>
      <c r="E12" s="791">
        <f t="shared" si="3"/>
        <v>500</v>
      </c>
      <c r="F12" s="788"/>
      <c r="G12" s="791">
        <v>500</v>
      </c>
      <c r="H12" s="788"/>
      <c r="I12" s="792">
        <f>SUM(J12:L12)</f>
        <v>0</v>
      </c>
      <c r="J12" s="788"/>
      <c r="K12" s="788"/>
      <c r="L12" s="788"/>
      <c r="M12" s="792">
        <f>SUM(N12:P12)</f>
        <v>0</v>
      </c>
      <c r="N12" s="788"/>
      <c r="O12" s="788"/>
      <c r="P12" s="788"/>
      <c r="Q12" s="788"/>
    </row>
    <row r="13" spans="1:17" s="770" customFormat="1" ht="52.5" customHeight="1">
      <c r="A13" s="787">
        <v>4</v>
      </c>
      <c r="B13" s="790" t="s">
        <v>752</v>
      </c>
      <c r="C13" s="784"/>
      <c r="D13" s="791">
        <f t="shared" si="2"/>
        <v>1000</v>
      </c>
      <c r="E13" s="791">
        <f t="shared" si="3"/>
        <v>1000</v>
      </c>
      <c r="F13" s="788"/>
      <c r="G13" s="791">
        <v>1000</v>
      </c>
      <c r="H13" s="788"/>
      <c r="I13" s="792">
        <f>SUM(J13:L13)</f>
        <v>0</v>
      </c>
      <c r="J13" s="788"/>
      <c r="K13" s="788"/>
      <c r="L13" s="788"/>
      <c r="M13" s="792">
        <f>SUM(N13:P13)</f>
        <v>0</v>
      </c>
      <c r="N13" s="788"/>
      <c r="O13" s="788"/>
      <c r="P13" s="788"/>
      <c r="Q13" s="788"/>
    </row>
    <row r="14" spans="1:17" s="770" customFormat="1" ht="54.75" customHeight="1">
      <c r="A14" s="787">
        <v>5</v>
      </c>
      <c r="B14" s="790" t="s">
        <v>753</v>
      </c>
      <c r="C14" s="784"/>
      <c r="D14" s="791">
        <f t="shared" si="2"/>
        <v>1000</v>
      </c>
      <c r="E14" s="791">
        <f t="shared" si="3"/>
        <v>1000</v>
      </c>
      <c r="F14" s="788"/>
      <c r="G14" s="791">
        <v>1000</v>
      </c>
      <c r="H14" s="788"/>
      <c r="I14" s="792">
        <f>SUM(J14:L14)</f>
        <v>0</v>
      </c>
      <c r="J14" s="788"/>
      <c r="K14" s="788"/>
      <c r="L14" s="788"/>
      <c r="M14" s="792">
        <f>SUM(N14:P14)</f>
        <v>0</v>
      </c>
      <c r="N14" s="788"/>
      <c r="O14" s="788"/>
      <c r="P14" s="788"/>
      <c r="Q14" s="788"/>
    </row>
    <row r="15" spans="1:17" s="770" customFormat="1" ht="56.25" customHeight="1">
      <c r="A15" s="787">
        <v>6</v>
      </c>
      <c r="B15" s="790" t="s">
        <v>770</v>
      </c>
      <c r="C15" s="784"/>
      <c r="D15" s="791">
        <f t="shared" si="2"/>
        <v>20000</v>
      </c>
      <c r="E15" s="791">
        <f t="shared" si="3"/>
        <v>5000</v>
      </c>
      <c r="F15" s="788"/>
      <c r="G15" s="791">
        <v>5000</v>
      </c>
      <c r="H15" s="791"/>
      <c r="I15" s="792">
        <f>J15+K15+L15</f>
        <v>10000</v>
      </c>
      <c r="J15" s="791"/>
      <c r="K15" s="791">
        <v>10000</v>
      </c>
      <c r="L15" s="788"/>
      <c r="M15" s="792">
        <f>N15+O15+P15</f>
        <v>5000</v>
      </c>
      <c r="N15" s="788"/>
      <c r="O15" s="791">
        <v>5000</v>
      </c>
      <c r="P15" s="788"/>
      <c r="Q15" s="788"/>
    </row>
    <row r="16" spans="1:17" s="768" customFormat="1" ht="51.75" customHeight="1">
      <c r="A16" s="784" t="s">
        <v>10</v>
      </c>
      <c r="B16" s="789" t="s">
        <v>754</v>
      </c>
      <c r="C16" s="784"/>
      <c r="D16" s="788">
        <f>D17+D30+D33+D34+D45+D48</f>
        <v>4495193</v>
      </c>
      <c r="E16" s="788">
        <f aca="true" t="shared" si="4" ref="E16:P16">E17+E30+E33+E34+E45+E48</f>
        <v>989090</v>
      </c>
      <c r="F16" s="788">
        <f t="shared" si="4"/>
        <v>291554</v>
      </c>
      <c r="G16" s="788">
        <f t="shared" si="4"/>
        <v>35348</v>
      </c>
      <c r="H16" s="788">
        <f t="shared" si="4"/>
        <v>662188</v>
      </c>
      <c r="I16" s="788">
        <f t="shared" si="4"/>
        <v>1822103</v>
      </c>
      <c r="J16" s="788">
        <f t="shared" si="4"/>
        <v>948103</v>
      </c>
      <c r="K16" s="788">
        <f t="shared" si="4"/>
        <v>13000</v>
      </c>
      <c r="L16" s="788">
        <f t="shared" si="4"/>
        <v>861000</v>
      </c>
      <c r="M16" s="788">
        <f t="shared" si="4"/>
        <v>1684000</v>
      </c>
      <c r="N16" s="788">
        <f t="shared" si="4"/>
        <v>800000</v>
      </c>
      <c r="O16" s="788">
        <f t="shared" si="4"/>
        <v>13000</v>
      </c>
      <c r="P16" s="788">
        <f t="shared" si="4"/>
        <v>871000</v>
      </c>
      <c r="Q16" s="788"/>
    </row>
    <row r="17" spans="1:17" s="768" customFormat="1" ht="54" customHeight="1">
      <c r="A17" s="784" t="s">
        <v>19</v>
      </c>
      <c r="B17" s="789" t="s">
        <v>763</v>
      </c>
      <c r="C17" s="784"/>
      <c r="D17" s="788">
        <f>D18+D21</f>
        <v>1232582</v>
      </c>
      <c r="E17" s="788">
        <f aca="true" t="shared" si="5" ref="E17:P17">E18+E21</f>
        <v>134479</v>
      </c>
      <c r="F17" s="788">
        <f t="shared" si="5"/>
        <v>130279</v>
      </c>
      <c r="G17" s="788">
        <f t="shared" si="5"/>
        <v>4200</v>
      </c>
      <c r="H17" s="788">
        <f t="shared" si="5"/>
        <v>0</v>
      </c>
      <c r="I17" s="788">
        <f t="shared" si="5"/>
        <v>598103</v>
      </c>
      <c r="J17" s="788">
        <f t="shared" si="5"/>
        <v>598103</v>
      </c>
      <c r="K17" s="788">
        <f t="shared" si="5"/>
        <v>0</v>
      </c>
      <c r="L17" s="788">
        <f t="shared" si="5"/>
        <v>0</v>
      </c>
      <c r="M17" s="788">
        <f t="shared" si="5"/>
        <v>500000</v>
      </c>
      <c r="N17" s="788">
        <f t="shared" si="5"/>
        <v>500000</v>
      </c>
      <c r="O17" s="788">
        <f t="shared" si="5"/>
        <v>0</v>
      </c>
      <c r="P17" s="788">
        <f t="shared" si="5"/>
        <v>0</v>
      </c>
      <c r="Q17" s="788"/>
    </row>
    <row r="18" spans="1:17" s="771" customFormat="1" ht="24.75" customHeight="1">
      <c r="A18" s="784">
        <v>1</v>
      </c>
      <c r="B18" s="789" t="s">
        <v>258</v>
      </c>
      <c r="C18" s="784"/>
      <c r="D18" s="788">
        <f>D19+D20</f>
        <v>123382</v>
      </c>
      <c r="E18" s="788">
        <f aca="true" t="shared" si="6" ref="E18:P18">E19+E20</f>
        <v>110279</v>
      </c>
      <c r="F18" s="788">
        <f t="shared" si="6"/>
        <v>110279</v>
      </c>
      <c r="G18" s="788">
        <f t="shared" si="6"/>
        <v>0</v>
      </c>
      <c r="H18" s="788">
        <f t="shared" si="6"/>
        <v>0</v>
      </c>
      <c r="I18" s="788">
        <f t="shared" si="6"/>
        <v>13103</v>
      </c>
      <c r="J18" s="788">
        <f t="shared" si="6"/>
        <v>13103</v>
      </c>
      <c r="K18" s="788">
        <f t="shared" si="6"/>
        <v>0</v>
      </c>
      <c r="L18" s="788">
        <f t="shared" si="6"/>
        <v>0</v>
      </c>
      <c r="M18" s="788">
        <f t="shared" si="6"/>
        <v>0</v>
      </c>
      <c r="N18" s="788">
        <f t="shared" si="6"/>
        <v>0</v>
      </c>
      <c r="O18" s="788">
        <f t="shared" si="6"/>
        <v>0</v>
      </c>
      <c r="P18" s="788">
        <f t="shared" si="6"/>
        <v>0</v>
      </c>
      <c r="Q18" s="788"/>
    </row>
    <row r="19" spans="1:17" s="772" customFormat="1" ht="54.75" customHeight="1">
      <c r="A19" s="793" t="s">
        <v>319</v>
      </c>
      <c r="B19" s="790" t="s">
        <v>708</v>
      </c>
      <c r="C19" s="787"/>
      <c r="D19" s="791">
        <v>24779</v>
      </c>
      <c r="E19" s="791">
        <f>SUM(F19:H19)</f>
        <v>24779</v>
      </c>
      <c r="F19" s="791">
        <f>D19</f>
        <v>24779</v>
      </c>
      <c r="G19" s="794"/>
      <c r="H19" s="794"/>
      <c r="I19" s="792">
        <f>SUM(J19:L19)</f>
        <v>0</v>
      </c>
      <c r="J19" s="794"/>
      <c r="K19" s="794"/>
      <c r="L19" s="794"/>
      <c r="M19" s="792">
        <f>SUM(N19:P19)</f>
        <v>0</v>
      </c>
      <c r="N19" s="794"/>
      <c r="O19" s="794"/>
      <c r="P19" s="794"/>
      <c r="Q19" s="787"/>
    </row>
    <row r="20" spans="1:17" s="772" customFormat="1" ht="52.5" customHeight="1">
      <c r="A20" s="793" t="s">
        <v>320</v>
      </c>
      <c r="B20" s="790" t="s">
        <v>650</v>
      </c>
      <c r="C20" s="787" t="s">
        <v>724</v>
      </c>
      <c r="D20" s="791">
        <v>98603</v>
      </c>
      <c r="E20" s="791">
        <f>SUM(F20:H20)</f>
        <v>85500</v>
      </c>
      <c r="F20" s="791">
        <v>85500</v>
      </c>
      <c r="G20" s="791"/>
      <c r="H20" s="791"/>
      <c r="I20" s="792">
        <f>SUM(J20:L20)</f>
        <v>13103</v>
      </c>
      <c r="J20" s="795">
        <f>D20-F20</f>
        <v>13103</v>
      </c>
      <c r="K20" s="794"/>
      <c r="L20" s="794"/>
      <c r="M20" s="792">
        <f>SUM(N20:P20)</f>
        <v>0</v>
      </c>
      <c r="N20" s="794"/>
      <c r="O20" s="794"/>
      <c r="P20" s="794"/>
      <c r="Q20" s="787"/>
    </row>
    <row r="21" spans="1:17" s="761" customFormat="1" ht="26.25" customHeight="1">
      <c r="A21" s="796" t="s">
        <v>133</v>
      </c>
      <c r="B21" s="797" t="s">
        <v>651</v>
      </c>
      <c r="C21" s="798"/>
      <c r="D21" s="788">
        <f>SUM(D22:D29)</f>
        <v>1109200</v>
      </c>
      <c r="E21" s="788">
        <f aca="true" t="shared" si="7" ref="E21:P21">SUM(E22:E29)</f>
        <v>24200</v>
      </c>
      <c r="F21" s="788">
        <f t="shared" si="7"/>
        <v>20000</v>
      </c>
      <c r="G21" s="788">
        <f t="shared" si="7"/>
        <v>4200</v>
      </c>
      <c r="H21" s="788">
        <f t="shared" si="7"/>
        <v>0</v>
      </c>
      <c r="I21" s="788">
        <f t="shared" si="7"/>
        <v>585000</v>
      </c>
      <c r="J21" s="788">
        <f t="shared" si="7"/>
        <v>585000</v>
      </c>
      <c r="K21" s="788">
        <f t="shared" si="7"/>
        <v>0</v>
      </c>
      <c r="L21" s="788">
        <f t="shared" si="7"/>
        <v>0</v>
      </c>
      <c r="M21" s="788">
        <f t="shared" si="7"/>
        <v>500000</v>
      </c>
      <c r="N21" s="788">
        <f t="shared" si="7"/>
        <v>500000</v>
      </c>
      <c r="O21" s="788">
        <f t="shared" si="7"/>
        <v>0</v>
      </c>
      <c r="P21" s="788">
        <f t="shared" si="7"/>
        <v>0</v>
      </c>
      <c r="Q21" s="799"/>
    </row>
    <row r="22" spans="1:17" s="773" customFormat="1" ht="55.5" customHeight="1">
      <c r="A22" s="800" t="s">
        <v>129</v>
      </c>
      <c r="B22" s="801" t="s">
        <v>652</v>
      </c>
      <c r="C22" s="802"/>
      <c r="D22" s="791">
        <f aca="true" t="shared" si="8" ref="D22:D29">E22+I22+M22</f>
        <v>210000</v>
      </c>
      <c r="E22" s="794">
        <f aca="true" t="shared" si="9" ref="E22:E29">SUM(F22:H22)</f>
        <v>0</v>
      </c>
      <c r="F22" s="792"/>
      <c r="G22" s="792"/>
      <c r="H22" s="792"/>
      <c r="I22" s="792">
        <f aca="true" t="shared" si="10" ref="I22:I29">SUM(J22:L22)</f>
        <v>210000</v>
      </c>
      <c r="J22" s="792">
        <v>210000</v>
      </c>
      <c r="K22" s="792"/>
      <c r="L22" s="792"/>
      <c r="M22" s="792">
        <f aca="true" t="shared" si="11" ref="M22:M29">SUM(N22:P22)</f>
        <v>0</v>
      </c>
      <c r="N22" s="792"/>
      <c r="O22" s="792"/>
      <c r="P22" s="792"/>
      <c r="Q22" s="802"/>
    </row>
    <row r="23" spans="1:17" s="773" customFormat="1" ht="59.25" customHeight="1">
      <c r="A23" s="800" t="s">
        <v>130</v>
      </c>
      <c r="B23" s="801" t="s">
        <v>778</v>
      </c>
      <c r="C23" s="802"/>
      <c r="D23" s="791">
        <f t="shared" si="8"/>
        <v>50000</v>
      </c>
      <c r="E23" s="794">
        <f t="shared" si="9"/>
        <v>0</v>
      </c>
      <c r="F23" s="792"/>
      <c r="G23" s="792"/>
      <c r="H23" s="792"/>
      <c r="I23" s="792">
        <f t="shared" si="10"/>
        <v>0</v>
      </c>
      <c r="J23" s="803"/>
      <c r="K23" s="792"/>
      <c r="L23" s="792"/>
      <c r="M23" s="792">
        <f t="shared" si="11"/>
        <v>50000</v>
      </c>
      <c r="N23" s="792">
        <v>50000</v>
      </c>
      <c r="O23" s="792"/>
      <c r="P23" s="792"/>
      <c r="Q23" s="802"/>
    </row>
    <row r="24" spans="1:17" s="773" customFormat="1" ht="41.25" customHeight="1">
      <c r="A24" s="800" t="s">
        <v>131</v>
      </c>
      <c r="B24" s="801" t="s">
        <v>779</v>
      </c>
      <c r="C24" s="802"/>
      <c r="D24" s="791">
        <f t="shared" si="8"/>
        <v>50000</v>
      </c>
      <c r="E24" s="794">
        <f t="shared" si="9"/>
        <v>0</v>
      </c>
      <c r="F24" s="792"/>
      <c r="G24" s="792"/>
      <c r="H24" s="792"/>
      <c r="I24" s="792">
        <f t="shared" si="10"/>
        <v>0</v>
      </c>
      <c r="J24" s="803"/>
      <c r="K24" s="792"/>
      <c r="L24" s="792"/>
      <c r="M24" s="792">
        <f t="shared" si="11"/>
        <v>50000</v>
      </c>
      <c r="N24" s="792">
        <v>50000</v>
      </c>
      <c r="O24" s="792"/>
      <c r="P24" s="792"/>
      <c r="Q24" s="802"/>
    </row>
    <row r="25" spans="1:17" s="773" customFormat="1" ht="29.25" customHeight="1">
      <c r="A25" s="800" t="s">
        <v>132</v>
      </c>
      <c r="B25" s="801" t="s">
        <v>780</v>
      </c>
      <c r="C25" s="802"/>
      <c r="D25" s="791">
        <f t="shared" si="8"/>
        <v>200000</v>
      </c>
      <c r="E25" s="803">
        <f t="shared" si="9"/>
        <v>0</v>
      </c>
      <c r="F25" s="792"/>
      <c r="G25" s="792"/>
      <c r="H25" s="792"/>
      <c r="I25" s="792">
        <f t="shared" si="10"/>
        <v>0</v>
      </c>
      <c r="J25" s="803"/>
      <c r="K25" s="792"/>
      <c r="L25" s="792"/>
      <c r="M25" s="792">
        <f t="shared" si="11"/>
        <v>200000</v>
      </c>
      <c r="N25" s="792">
        <v>200000</v>
      </c>
      <c r="O25" s="792"/>
      <c r="P25" s="792"/>
      <c r="Q25" s="802"/>
    </row>
    <row r="26" spans="1:17" s="773" customFormat="1" ht="42.75" customHeight="1">
      <c r="A26" s="800" t="s">
        <v>679</v>
      </c>
      <c r="B26" s="801" t="s">
        <v>653</v>
      </c>
      <c r="C26" s="802"/>
      <c r="D26" s="791">
        <f t="shared" si="8"/>
        <v>200000</v>
      </c>
      <c r="E26" s="803">
        <f t="shared" si="9"/>
        <v>0</v>
      </c>
      <c r="F26" s="792"/>
      <c r="G26" s="792"/>
      <c r="H26" s="792"/>
      <c r="I26" s="792">
        <f t="shared" si="10"/>
        <v>200000</v>
      </c>
      <c r="J26" s="792">
        <v>200000</v>
      </c>
      <c r="K26" s="792"/>
      <c r="L26" s="792"/>
      <c r="M26" s="792">
        <f t="shared" si="11"/>
        <v>0</v>
      </c>
      <c r="N26" s="792"/>
      <c r="O26" s="792"/>
      <c r="P26" s="792"/>
      <c r="Q26" s="802"/>
    </row>
    <row r="27" spans="1:17" s="773" customFormat="1" ht="48" customHeight="1">
      <c r="A27" s="800" t="s">
        <v>680</v>
      </c>
      <c r="B27" s="801" t="s">
        <v>723</v>
      </c>
      <c r="C27" s="802" t="s">
        <v>713</v>
      </c>
      <c r="D27" s="791">
        <f t="shared" si="8"/>
        <v>350000</v>
      </c>
      <c r="E27" s="803">
        <f t="shared" si="9"/>
        <v>0</v>
      </c>
      <c r="F27" s="792"/>
      <c r="G27" s="792"/>
      <c r="H27" s="792"/>
      <c r="I27" s="792">
        <f t="shared" si="10"/>
        <v>150000</v>
      </c>
      <c r="J27" s="792">
        <v>150000</v>
      </c>
      <c r="K27" s="792"/>
      <c r="L27" s="792"/>
      <c r="M27" s="792">
        <f t="shared" si="11"/>
        <v>200000</v>
      </c>
      <c r="N27" s="792">
        <v>200000</v>
      </c>
      <c r="O27" s="792"/>
      <c r="P27" s="792"/>
      <c r="Q27" s="802" t="s">
        <v>714</v>
      </c>
    </row>
    <row r="28" spans="1:17" s="773" customFormat="1" ht="42.75" customHeight="1">
      <c r="A28" s="800" t="s">
        <v>681</v>
      </c>
      <c r="B28" s="801" t="s">
        <v>671</v>
      </c>
      <c r="C28" s="802" t="s">
        <v>670</v>
      </c>
      <c r="D28" s="791">
        <f t="shared" si="8"/>
        <v>45000</v>
      </c>
      <c r="E28" s="791">
        <f t="shared" si="9"/>
        <v>20000</v>
      </c>
      <c r="F28" s="792">
        <v>20000</v>
      </c>
      <c r="G28" s="792"/>
      <c r="H28" s="792"/>
      <c r="I28" s="792">
        <f t="shared" si="10"/>
        <v>25000</v>
      </c>
      <c r="J28" s="792">
        <v>25000</v>
      </c>
      <c r="K28" s="792"/>
      <c r="L28" s="792"/>
      <c r="M28" s="792">
        <f t="shared" si="11"/>
        <v>0</v>
      </c>
      <c r="N28" s="792"/>
      <c r="O28" s="792"/>
      <c r="P28" s="792"/>
      <c r="Q28" s="802" t="s">
        <v>672</v>
      </c>
    </row>
    <row r="29" spans="1:17" s="773" customFormat="1" ht="34.5" customHeight="1">
      <c r="A29" s="800" t="s">
        <v>682</v>
      </c>
      <c r="B29" s="801" t="s">
        <v>690</v>
      </c>
      <c r="C29" s="802" t="s">
        <v>689</v>
      </c>
      <c r="D29" s="791">
        <f t="shared" si="8"/>
        <v>4200</v>
      </c>
      <c r="E29" s="791">
        <f t="shared" si="9"/>
        <v>4200</v>
      </c>
      <c r="F29" s="792"/>
      <c r="G29" s="792">
        <v>4200</v>
      </c>
      <c r="H29" s="792"/>
      <c r="I29" s="792">
        <f t="shared" si="10"/>
        <v>0</v>
      </c>
      <c r="J29" s="792"/>
      <c r="K29" s="792"/>
      <c r="L29" s="792"/>
      <c r="M29" s="792">
        <f t="shared" si="11"/>
        <v>0</v>
      </c>
      <c r="N29" s="792"/>
      <c r="O29" s="792"/>
      <c r="P29" s="792"/>
      <c r="Q29" s="802" t="s">
        <v>691</v>
      </c>
    </row>
    <row r="30" spans="1:17" s="761" customFormat="1" ht="36" customHeight="1">
      <c r="A30" s="796" t="s">
        <v>20</v>
      </c>
      <c r="B30" s="797" t="s">
        <v>747</v>
      </c>
      <c r="C30" s="798"/>
      <c r="D30" s="788">
        <f>SUM(D31:D32)</f>
        <v>119429</v>
      </c>
      <c r="E30" s="788">
        <f aca="true" t="shared" si="12" ref="E30:P30">SUM(E31:E32)</f>
        <v>19429</v>
      </c>
      <c r="F30" s="788">
        <f t="shared" si="12"/>
        <v>19429</v>
      </c>
      <c r="G30" s="788">
        <f t="shared" si="12"/>
        <v>0</v>
      </c>
      <c r="H30" s="788">
        <f t="shared" si="12"/>
        <v>0</v>
      </c>
      <c r="I30" s="788">
        <f t="shared" si="12"/>
        <v>50000</v>
      </c>
      <c r="J30" s="788">
        <f t="shared" si="12"/>
        <v>50000</v>
      </c>
      <c r="K30" s="788">
        <f t="shared" si="12"/>
        <v>0</v>
      </c>
      <c r="L30" s="788">
        <f t="shared" si="12"/>
        <v>0</v>
      </c>
      <c r="M30" s="788">
        <f t="shared" si="12"/>
        <v>50000</v>
      </c>
      <c r="N30" s="788">
        <f t="shared" si="12"/>
        <v>50000</v>
      </c>
      <c r="O30" s="788">
        <f t="shared" si="12"/>
        <v>0</v>
      </c>
      <c r="P30" s="788">
        <f t="shared" si="12"/>
        <v>0</v>
      </c>
      <c r="Q30" s="799"/>
    </row>
    <row r="31" spans="1:17" s="773" customFormat="1" ht="133.5" customHeight="1">
      <c r="A31" s="800" t="s">
        <v>755</v>
      </c>
      <c r="B31" s="801" t="s">
        <v>748</v>
      </c>
      <c r="C31" s="802" t="s">
        <v>756</v>
      </c>
      <c r="D31" s="791">
        <f>E31+I31+M31</f>
        <v>19429</v>
      </c>
      <c r="E31" s="792">
        <v>19429</v>
      </c>
      <c r="F31" s="792">
        <f>E31</f>
        <v>19429</v>
      </c>
      <c r="G31" s="792"/>
      <c r="H31" s="792"/>
      <c r="I31" s="792">
        <f>SUM(J31:L31)</f>
        <v>0</v>
      </c>
      <c r="J31" s="792"/>
      <c r="K31" s="792"/>
      <c r="L31" s="792"/>
      <c r="M31" s="792">
        <f>SUM(N31:P31)</f>
        <v>0</v>
      </c>
      <c r="N31" s="792"/>
      <c r="O31" s="792"/>
      <c r="P31" s="792"/>
      <c r="Q31" s="792"/>
    </row>
    <row r="32" spans="1:17" s="773" customFormat="1" ht="33" customHeight="1">
      <c r="A32" s="800" t="s">
        <v>133</v>
      </c>
      <c r="B32" s="801" t="s">
        <v>772</v>
      </c>
      <c r="C32" s="802" t="s">
        <v>764</v>
      </c>
      <c r="D32" s="791">
        <f>E32+I32+M32</f>
        <v>100000</v>
      </c>
      <c r="E32" s="792"/>
      <c r="F32" s="792"/>
      <c r="G32" s="792"/>
      <c r="H32" s="792"/>
      <c r="I32" s="792">
        <f>SUM(J32:L32)</f>
        <v>50000</v>
      </c>
      <c r="J32" s="792">
        <v>50000</v>
      </c>
      <c r="K32" s="792"/>
      <c r="L32" s="792"/>
      <c r="M32" s="792">
        <f>SUM(N32:P32)</f>
        <v>50000</v>
      </c>
      <c r="N32" s="792">
        <v>50000</v>
      </c>
      <c r="O32" s="792"/>
      <c r="P32" s="792"/>
      <c r="Q32" s="792"/>
    </row>
    <row r="33" spans="1:17" s="772" customFormat="1" ht="87" customHeight="1">
      <c r="A33" s="786" t="s">
        <v>113</v>
      </c>
      <c r="B33" s="804" t="s">
        <v>791</v>
      </c>
      <c r="C33" s="805"/>
      <c r="D33" s="788">
        <f>E33+I33+M33</f>
        <v>550000</v>
      </c>
      <c r="E33" s="788">
        <v>0</v>
      </c>
      <c r="F33" s="788"/>
      <c r="G33" s="788"/>
      <c r="H33" s="788"/>
      <c r="I33" s="788">
        <f>SUM(J33:L33)</f>
        <v>300000</v>
      </c>
      <c r="J33" s="788">
        <v>300000</v>
      </c>
      <c r="K33" s="788"/>
      <c r="L33" s="788"/>
      <c r="M33" s="799">
        <f>SUM(N33:P33)</f>
        <v>250000</v>
      </c>
      <c r="N33" s="788">
        <v>250000</v>
      </c>
      <c r="O33" s="806"/>
      <c r="P33" s="806"/>
      <c r="Q33" s="805"/>
    </row>
    <row r="34" spans="1:17" s="772" customFormat="1" ht="25.5">
      <c r="A34" s="786" t="s">
        <v>114</v>
      </c>
      <c r="B34" s="807" t="s">
        <v>768</v>
      </c>
      <c r="C34" s="805"/>
      <c r="D34" s="808">
        <f>D35+D39</f>
        <v>294182</v>
      </c>
      <c r="E34" s="808">
        <f aca="true" t="shared" si="13" ref="E34:P34">E35+E39</f>
        <v>294182</v>
      </c>
      <c r="F34" s="808">
        <f t="shared" si="13"/>
        <v>141846</v>
      </c>
      <c r="G34" s="808">
        <f t="shared" si="13"/>
        <v>21148</v>
      </c>
      <c r="H34" s="808">
        <f t="shared" si="13"/>
        <v>131188</v>
      </c>
      <c r="I34" s="808">
        <f t="shared" si="13"/>
        <v>0</v>
      </c>
      <c r="J34" s="808">
        <f t="shared" si="13"/>
        <v>0</v>
      </c>
      <c r="K34" s="808">
        <f t="shared" si="13"/>
        <v>0</v>
      </c>
      <c r="L34" s="808">
        <f t="shared" si="13"/>
        <v>0</v>
      </c>
      <c r="M34" s="808">
        <f t="shared" si="13"/>
        <v>0</v>
      </c>
      <c r="N34" s="808">
        <f t="shared" si="13"/>
        <v>0</v>
      </c>
      <c r="O34" s="808">
        <f t="shared" si="13"/>
        <v>0</v>
      </c>
      <c r="P34" s="808">
        <f t="shared" si="13"/>
        <v>0</v>
      </c>
      <c r="Q34" s="805"/>
    </row>
    <row r="35" spans="1:17" s="772" customFormat="1" ht="20.25" customHeight="1">
      <c r="A35" s="786">
        <v>1</v>
      </c>
      <c r="B35" s="807" t="s">
        <v>748</v>
      </c>
      <c r="C35" s="805"/>
      <c r="D35" s="809">
        <f>SUM(D36:D38)</f>
        <v>42300</v>
      </c>
      <c r="E35" s="809">
        <f aca="true" t="shared" si="14" ref="E35:P35">SUM(E36:E38)</f>
        <v>42300</v>
      </c>
      <c r="F35" s="809">
        <f t="shared" si="14"/>
        <v>42300</v>
      </c>
      <c r="G35" s="809">
        <f t="shared" si="14"/>
        <v>0</v>
      </c>
      <c r="H35" s="809">
        <f t="shared" si="14"/>
        <v>0</v>
      </c>
      <c r="I35" s="809">
        <f t="shared" si="14"/>
        <v>0</v>
      </c>
      <c r="J35" s="809">
        <f t="shared" si="14"/>
        <v>0</v>
      </c>
      <c r="K35" s="809">
        <f t="shared" si="14"/>
        <v>0</v>
      </c>
      <c r="L35" s="809">
        <f t="shared" si="14"/>
        <v>0</v>
      </c>
      <c r="M35" s="809">
        <f t="shared" si="14"/>
        <v>0</v>
      </c>
      <c r="N35" s="809">
        <f t="shared" si="14"/>
        <v>0</v>
      </c>
      <c r="O35" s="809">
        <f t="shared" si="14"/>
        <v>0</v>
      </c>
      <c r="P35" s="809">
        <f t="shared" si="14"/>
        <v>0</v>
      </c>
      <c r="Q35" s="805"/>
    </row>
    <row r="36" spans="1:17" s="774" customFormat="1" ht="32.25" customHeight="1">
      <c r="A36" s="793" t="s">
        <v>319</v>
      </c>
      <c r="B36" s="810" t="s">
        <v>739</v>
      </c>
      <c r="C36" s="805"/>
      <c r="D36" s="791">
        <f>E36+I36+M36</f>
        <v>26000</v>
      </c>
      <c r="E36" s="811">
        <v>26000</v>
      </c>
      <c r="F36" s="791">
        <f>E36</f>
        <v>26000</v>
      </c>
      <c r="G36" s="791"/>
      <c r="H36" s="791"/>
      <c r="I36" s="792">
        <f>SUM(J36:L36)</f>
        <v>0</v>
      </c>
      <c r="J36" s="794"/>
      <c r="K36" s="794"/>
      <c r="L36" s="794"/>
      <c r="M36" s="794"/>
      <c r="N36" s="794"/>
      <c r="O36" s="794"/>
      <c r="P36" s="794"/>
      <c r="Q36" s="787"/>
    </row>
    <row r="37" spans="1:17" s="774" customFormat="1" ht="30.75" customHeight="1">
      <c r="A37" s="793" t="s">
        <v>320</v>
      </c>
      <c r="B37" s="812" t="s">
        <v>740</v>
      </c>
      <c r="C37" s="805"/>
      <c r="D37" s="791">
        <f>E37+I37+M37</f>
        <v>5900</v>
      </c>
      <c r="E37" s="811">
        <v>5900</v>
      </c>
      <c r="F37" s="791">
        <f>E37</f>
        <v>5900</v>
      </c>
      <c r="G37" s="791"/>
      <c r="H37" s="791"/>
      <c r="I37" s="792">
        <f>SUM(J37:L37)</f>
        <v>0</v>
      </c>
      <c r="J37" s="794"/>
      <c r="K37" s="794"/>
      <c r="L37" s="794"/>
      <c r="M37" s="794"/>
      <c r="N37" s="794"/>
      <c r="O37" s="794"/>
      <c r="P37" s="794"/>
      <c r="Q37" s="787"/>
    </row>
    <row r="38" spans="1:17" s="774" customFormat="1" ht="69.75" customHeight="1">
      <c r="A38" s="793" t="s">
        <v>321</v>
      </c>
      <c r="B38" s="810" t="s">
        <v>781</v>
      </c>
      <c r="C38" s="805"/>
      <c r="D38" s="791">
        <f>E38+I38+M38</f>
        <v>10400</v>
      </c>
      <c r="E38" s="811">
        <f>SUM(F38:H38)</f>
        <v>10400</v>
      </c>
      <c r="F38" s="791">
        <v>10400</v>
      </c>
      <c r="G38" s="791"/>
      <c r="H38" s="791"/>
      <c r="I38" s="792">
        <f>SUM(J38:L38)</f>
        <v>0</v>
      </c>
      <c r="J38" s="794"/>
      <c r="K38" s="794"/>
      <c r="L38" s="794"/>
      <c r="M38" s="794"/>
      <c r="N38" s="794"/>
      <c r="O38" s="794"/>
      <c r="P38" s="794"/>
      <c r="Q38" s="787" t="s">
        <v>741</v>
      </c>
    </row>
    <row r="39" spans="1:17" s="771" customFormat="1" ht="21.75" customHeight="1">
      <c r="A39" s="813">
        <v>2</v>
      </c>
      <c r="B39" s="807" t="s">
        <v>749</v>
      </c>
      <c r="C39" s="806"/>
      <c r="D39" s="809">
        <f>SUM(D40:D44)</f>
        <v>251882</v>
      </c>
      <c r="E39" s="809">
        <f aca="true" t="shared" si="15" ref="E39:P39">SUM(E40:E44)</f>
        <v>251882</v>
      </c>
      <c r="F39" s="809">
        <f t="shared" si="15"/>
        <v>99546</v>
      </c>
      <c r="G39" s="809">
        <f t="shared" si="15"/>
        <v>21148</v>
      </c>
      <c r="H39" s="809">
        <f t="shared" si="15"/>
        <v>131188</v>
      </c>
      <c r="I39" s="809">
        <f t="shared" si="15"/>
        <v>0</v>
      </c>
      <c r="J39" s="809">
        <f t="shared" si="15"/>
        <v>0</v>
      </c>
      <c r="K39" s="809">
        <f t="shared" si="15"/>
        <v>0</v>
      </c>
      <c r="L39" s="809">
        <f t="shared" si="15"/>
        <v>0</v>
      </c>
      <c r="M39" s="809">
        <f t="shared" si="15"/>
        <v>0</v>
      </c>
      <c r="N39" s="809">
        <f t="shared" si="15"/>
        <v>0</v>
      </c>
      <c r="O39" s="809">
        <f t="shared" si="15"/>
        <v>0</v>
      </c>
      <c r="P39" s="809">
        <f t="shared" si="15"/>
        <v>0</v>
      </c>
      <c r="Q39" s="806"/>
    </row>
    <row r="40" spans="1:17" s="772" customFormat="1" ht="58.5" customHeight="1">
      <c r="A40" s="793" t="s">
        <v>129</v>
      </c>
      <c r="B40" s="810" t="s">
        <v>742</v>
      </c>
      <c r="C40" s="805"/>
      <c r="D40" s="791">
        <f>E40+I40+M40</f>
        <v>13000</v>
      </c>
      <c r="E40" s="811">
        <v>13000</v>
      </c>
      <c r="F40" s="811">
        <f>E40</f>
        <v>13000</v>
      </c>
      <c r="G40" s="814"/>
      <c r="H40" s="805"/>
      <c r="I40" s="792">
        <f>SUM(J40:L40)</f>
        <v>0</v>
      </c>
      <c r="J40" s="805"/>
      <c r="K40" s="805"/>
      <c r="L40" s="805"/>
      <c r="M40" s="805"/>
      <c r="N40" s="805"/>
      <c r="O40" s="805"/>
      <c r="P40" s="805"/>
      <c r="Q40" s="805"/>
    </row>
    <row r="41" spans="1:17" s="772" customFormat="1" ht="38.25">
      <c r="A41" s="793" t="s">
        <v>130</v>
      </c>
      <c r="B41" s="812" t="s">
        <v>743</v>
      </c>
      <c r="C41" s="805"/>
      <c r="D41" s="791">
        <f>E41+I41+M41</f>
        <v>5000</v>
      </c>
      <c r="E41" s="814">
        <v>5000</v>
      </c>
      <c r="F41" s="814"/>
      <c r="G41" s="814">
        <f>E41</f>
        <v>5000</v>
      </c>
      <c r="H41" s="805"/>
      <c r="I41" s="792">
        <f>SUM(J41:L41)</f>
        <v>0</v>
      </c>
      <c r="J41" s="805"/>
      <c r="K41" s="805"/>
      <c r="L41" s="805"/>
      <c r="M41" s="805"/>
      <c r="N41" s="805"/>
      <c r="O41" s="805"/>
      <c r="P41" s="805"/>
      <c r="Q41" s="805" t="s">
        <v>744</v>
      </c>
    </row>
    <row r="42" spans="1:17" ht="63.75">
      <c r="A42" s="793" t="s">
        <v>131</v>
      </c>
      <c r="B42" s="810" t="s">
        <v>788</v>
      </c>
      <c r="C42" s="805"/>
      <c r="D42" s="791">
        <f>E42+I42+M42</f>
        <v>10000</v>
      </c>
      <c r="E42" s="811">
        <v>10000</v>
      </c>
      <c r="F42" s="811">
        <f>E42</f>
        <v>10000</v>
      </c>
      <c r="G42" s="811"/>
      <c r="H42" s="805"/>
      <c r="I42" s="792">
        <f>SUM(J42:L42)</f>
        <v>0</v>
      </c>
      <c r="J42" s="805"/>
      <c r="K42" s="805"/>
      <c r="L42" s="805"/>
      <c r="M42" s="805"/>
      <c r="N42" s="805"/>
      <c r="O42" s="805"/>
      <c r="P42" s="805"/>
      <c r="Q42" s="805"/>
    </row>
    <row r="43" spans="1:17" ht="30.75" customHeight="1">
      <c r="A43" s="793" t="s">
        <v>132</v>
      </c>
      <c r="B43" s="810" t="s">
        <v>745</v>
      </c>
      <c r="C43" s="814"/>
      <c r="D43" s="791">
        <f>E43+I43+M43</f>
        <v>76546</v>
      </c>
      <c r="E43" s="811">
        <v>76546</v>
      </c>
      <c r="F43" s="811">
        <f>E43</f>
        <v>76546</v>
      </c>
      <c r="G43" s="814"/>
      <c r="H43" s="805"/>
      <c r="I43" s="792">
        <f>SUM(J43:L43)</f>
        <v>0</v>
      </c>
      <c r="J43" s="805"/>
      <c r="K43" s="805"/>
      <c r="L43" s="805"/>
      <c r="M43" s="805"/>
      <c r="N43" s="805"/>
      <c r="O43" s="805"/>
      <c r="P43" s="805"/>
      <c r="Q43" s="805" t="s">
        <v>746</v>
      </c>
    </row>
    <row r="44" spans="1:17" s="773" customFormat="1" ht="63.75" customHeight="1">
      <c r="A44" s="793" t="s">
        <v>679</v>
      </c>
      <c r="B44" s="801" t="s">
        <v>792</v>
      </c>
      <c r="C44" s="802" t="s">
        <v>782</v>
      </c>
      <c r="D44" s="791">
        <f>E44+I44+M44</f>
        <v>147336</v>
      </c>
      <c r="E44" s="792">
        <f>SUM(F44:H44)</f>
        <v>147336</v>
      </c>
      <c r="F44" s="792"/>
      <c r="G44" s="792">
        <v>16148</v>
      </c>
      <c r="H44" s="792">
        <v>131188</v>
      </c>
      <c r="I44" s="792">
        <f>SUM(J44:L44)</f>
        <v>0</v>
      </c>
      <c r="J44" s="792"/>
      <c r="K44" s="792"/>
      <c r="L44" s="792"/>
      <c r="M44" s="792"/>
      <c r="N44" s="792"/>
      <c r="O44" s="792"/>
      <c r="P44" s="792"/>
      <c r="Q44" s="802" t="s">
        <v>702</v>
      </c>
    </row>
    <row r="45" spans="1:17" s="761" customFormat="1" ht="63.75" customHeight="1">
      <c r="A45" s="815" t="s">
        <v>796</v>
      </c>
      <c r="B45" s="797" t="s">
        <v>797</v>
      </c>
      <c r="C45" s="798"/>
      <c r="D45" s="788">
        <f>D46+D47</f>
        <v>39000</v>
      </c>
      <c r="E45" s="788">
        <f aca="true" t="shared" si="16" ref="E45:P45">E46+E47</f>
        <v>11000</v>
      </c>
      <c r="F45" s="788">
        <f t="shared" si="16"/>
        <v>0</v>
      </c>
      <c r="G45" s="788">
        <f t="shared" si="16"/>
        <v>10000</v>
      </c>
      <c r="H45" s="788">
        <f t="shared" si="16"/>
        <v>1000</v>
      </c>
      <c r="I45" s="788">
        <f t="shared" si="16"/>
        <v>14000</v>
      </c>
      <c r="J45" s="788">
        <f t="shared" si="16"/>
        <v>0</v>
      </c>
      <c r="K45" s="788">
        <f t="shared" si="16"/>
        <v>13000</v>
      </c>
      <c r="L45" s="788">
        <f t="shared" si="16"/>
        <v>1000</v>
      </c>
      <c r="M45" s="788">
        <f t="shared" si="16"/>
        <v>14000</v>
      </c>
      <c r="N45" s="788">
        <f t="shared" si="16"/>
        <v>0</v>
      </c>
      <c r="O45" s="788">
        <f t="shared" si="16"/>
        <v>13000</v>
      </c>
      <c r="P45" s="788">
        <f t="shared" si="16"/>
        <v>1000</v>
      </c>
      <c r="Q45" s="798"/>
    </row>
    <row r="46" spans="1:17" s="773" customFormat="1" ht="39" customHeight="1">
      <c r="A46" s="793" t="s">
        <v>755</v>
      </c>
      <c r="B46" s="801" t="s">
        <v>798</v>
      </c>
      <c r="C46" s="802" t="s">
        <v>799</v>
      </c>
      <c r="D46" s="791">
        <v>24000</v>
      </c>
      <c r="E46" s="792">
        <v>8000</v>
      </c>
      <c r="F46" s="792"/>
      <c r="G46" s="792">
        <v>7000</v>
      </c>
      <c r="H46" s="792">
        <v>1000</v>
      </c>
      <c r="I46" s="792">
        <v>8000</v>
      </c>
      <c r="J46" s="792"/>
      <c r="K46" s="792">
        <v>7000</v>
      </c>
      <c r="L46" s="792">
        <v>1000</v>
      </c>
      <c r="M46" s="792">
        <v>8000</v>
      </c>
      <c r="N46" s="792"/>
      <c r="O46" s="792">
        <v>7000</v>
      </c>
      <c r="P46" s="792">
        <v>1000</v>
      </c>
      <c r="Q46" s="802"/>
    </row>
    <row r="47" spans="1:17" s="773" customFormat="1" ht="39" customHeight="1">
      <c r="A47" s="793" t="s">
        <v>133</v>
      </c>
      <c r="B47" s="801" t="s">
        <v>800</v>
      </c>
      <c r="C47" s="802" t="s">
        <v>801</v>
      </c>
      <c r="D47" s="791">
        <v>15000</v>
      </c>
      <c r="E47" s="792">
        <v>3000</v>
      </c>
      <c r="F47" s="792"/>
      <c r="G47" s="792">
        <v>3000</v>
      </c>
      <c r="H47" s="792"/>
      <c r="I47" s="792">
        <v>6000</v>
      </c>
      <c r="J47" s="792"/>
      <c r="K47" s="792">
        <v>6000</v>
      </c>
      <c r="L47" s="792"/>
      <c r="M47" s="792">
        <v>6000</v>
      </c>
      <c r="N47" s="792"/>
      <c r="O47" s="792">
        <v>6000</v>
      </c>
      <c r="P47" s="792"/>
      <c r="Q47" s="802"/>
    </row>
    <row r="48" spans="1:17" s="761" customFormat="1" ht="39" customHeight="1">
      <c r="A48" s="815" t="s">
        <v>119</v>
      </c>
      <c r="B48" s="797" t="s">
        <v>808</v>
      </c>
      <c r="C48" s="798"/>
      <c r="D48" s="788">
        <f>D49+D50</f>
        <v>2260000</v>
      </c>
      <c r="E48" s="788">
        <f aca="true" t="shared" si="17" ref="E48:P48">E49+E50</f>
        <v>530000</v>
      </c>
      <c r="F48" s="788">
        <f t="shared" si="17"/>
        <v>0</v>
      </c>
      <c r="G48" s="788">
        <f t="shared" si="17"/>
        <v>0</v>
      </c>
      <c r="H48" s="788">
        <f t="shared" si="17"/>
        <v>530000</v>
      </c>
      <c r="I48" s="788">
        <f t="shared" si="17"/>
        <v>860000</v>
      </c>
      <c r="J48" s="788">
        <f t="shared" si="17"/>
        <v>0</v>
      </c>
      <c r="K48" s="788">
        <f t="shared" si="17"/>
        <v>0</v>
      </c>
      <c r="L48" s="788">
        <f t="shared" si="17"/>
        <v>860000</v>
      </c>
      <c r="M48" s="788">
        <f t="shared" si="17"/>
        <v>870000</v>
      </c>
      <c r="N48" s="788">
        <f t="shared" si="17"/>
        <v>0</v>
      </c>
      <c r="O48" s="788">
        <f t="shared" si="17"/>
        <v>0</v>
      </c>
      <c r="P48" s="788">
        <f t="shared" si="17"/>
        <v>870000</v>
      </c>
      <c r="Q48" s="798"/>
    </row>
    <row r="49" spans="1:17" s="773" customFormat="1" ht="109.5" customHeight="1">
      <c r="A49" s="793" t="s">
        <v>755</v>
      </c>
      <c r="B49" s="801" t="s">
        <v>811</v>
      </c>
      <c r="C49" s="802" t="s">
        <v>809</v>
      </c>
      <c r="D49" s="791">
        <f>E49+I49+M49</f>
        <v>2080000</v>
      </c>
      <c r="E49" s="792">
        <v>480000</v>
      </c>
      <c r="F49" s="792"/>
      <c r="G49" s="792"/>
      <c r="H49" s="792">
        <v>480000</v>
      </c>
      <c r="I49" s="792">
        <v>800000</v>
      </c>
      <c r="J49" s="792"/>
      <c r="K49" s="792"/>
      <c r="L49" s="792">
        <v>800000</v>
      </c>
      <c r="M49" s="792">
        <v>800000</v>
      </c>
      <c r="N49" s="792"/>
      <c r="O49" s="792"/>
      <c r="P49" s="792">
        <v>800000</v>
      </c>
      <c r="Q49" s="802"/>
    </row>
    <row r="50" spans="1:17" s="773" customFormat="1" ht="39" customHeight="1">
      <c r="A50" s="793" t="s">
        <v>133</v>
      </c>
      <c r="B50" s="801" t="s">
        <v>810</v>
      </c>
      <c r="C50" s="802"/>
      <c r="D50" s="791">
        <f>E50+I50+M50</f>
        <v>180000</v>
      </c>
      <c r="E50" s="792">
        <v>50000</v>
      </c>
      <c r="F50" s="792"/>
      <c r="G50" s="792"/>
      <c r="H50" s="792">
        <v>50000</v>
      </c>
      <c r="I50" s="792">
        <v>60000</v>
      </c>
      <c r="J50" s="792"/>
      <c r="K50" s="792"/>
      <c r="L50" s="792">
        <v>60000</v>
      </c>
      <c r="M50" s="792">
        <v>70000</v>
      </c>
      <c r="N50" s="792"/>
      <c r="O50" s="792"/>
      <c r="P50" s="792">
        <v>70000</v>
      </c>
      <c r="Q50" s="802"/>
    </row>
    <row r="51" spans="1:17" s="773" customFormat="1" ht="46.5" customHeight="1">
      <c r="A51" s="796" t="s">
        <v>487</v>
      </c>
      <c r="B51" s="797" t="s">
        <v>804</v>
      </c>
      <c r="C51" s="802"/>
      <c r="D51" s="788">
        <f>D52+D59+D64+D65</f>
        <v>1280198</v>
      </c>
      <c r="E51" s="788">
        <f aca="true" t="shared" si="18" ref="E51:P51">E52+E59+E64+E65</f>
        <v>357198</v>
      </c>
      <c r="F51" s="788">
        <f t="shared" si="18"/>
        <v>108000</v>
      </c>
      <c r="G51" s="788">
        <f t="shared" si="18"/>
        <v>32034</v>
      </c>
      <c r="H51" s="788">
        <f t="shared" si="18"/>
        <v>217164</v>
      </c>
      <c r="I51" s="788">
        <f t="shared" si="18"/>
        <v>378000</v>
      </c>
      <c r="J51" s="788">
        <f t="shared" si="18"/>
        <v>220000</v>
      </c>
      <c r="K51" s="788">
        <f t="shared" si="18"/>
        <v>44000</v>
      </c>
      <c r="L51" s="788">
        <f t="shared" si="18"/>
        <v>114000</v>
      </c>
      <c r="M51" s="788">
        <f t="shared" si="18"/>
        <v>545000</v>
      </c>
      <c r="N51" s="788">
        <f t="shared" si="18"/>
        <v>400000</v>
      </c>
      <c r="O51" s="788">
        <f t="shared" si="18"/>
        <v>34000</v>
      </c>
      <c r="P51" s="788">
        <f t="shared" si="18"/>
        <v>111000</v>
      </c>
      <c r="Q51" s="792"/>
    </row>
    <row r="52" spans="1:17" s="768" customFormat="1" ht="54.75" customHeight="1">
      <c r="A52" s="784" t="s">
        <v>19</v>
      </c>
      <c r="B52" s="789" t="s">
        <v>757</v>
      </c>
      <c r="C52" s="784"/>
      <c r="D52" s="788">
        <f>SUM(D53:D58)</f>
        <v>481000</v>
      </c>
      <c r="E52" s="788">
        <f aca="true" t="shared" si="19" ref="E52:P52">SUM(E53:E58)</f>
        <v>291000</v>
      </c>
      <c r="F52" s="788">
        <f t="shared" si="19"/>
        <v>108000</v>
      </c>
      <c r="G52" s="788">
        <f t="shared" si="19"/>
        <v>0</v>
      </c>
      <c r="H52" s="788">
        <f t="shared" si="19"/>
        <v>183000</v>
      </c>
      <c r="I52" s="788">
        <f t="shared" si="19"/>
        <v>190000</v>
      </c>
      <c r="J52" s="788">
        <f t="shared" si="19"/>
        <v>170000</v>
      </c>
      <c r="K52" s="788">
        <f t="shared" si="19"/>
        <v>15000</v>
      </c>
      <c r="L52" s="788">
        <f t="shared" si="19"/>
        <v>5000</v>
      </c>
      <c r="M52" s="788">
        <f t="shared" si="19"/>
        <v>0</v>
      </c>
      <c r="N52" s="788">
        <f t="shared" si="19"/>
        <v>0</v>
      </c>
      <c r="O52" s="788">
        <f t="shared" si="19"/>
        <v>0</v>
      </c>
      <c r="P52" s="788">
        <f t="shared" si="19"/>
        <v>0</v>
      </c>
      <c r="Q52" s="788"/>
    </row>
    <row r="53" spans="1:17" s="768" customFormat="1" ht="57.75" customHeight="1">
      <c r="A53" s="787">
        <v>1</v>
      </c>
      <c r="B53" s="790" t="s">
        <v>725</v>
      </c>
      <c r="C53" s="784"/>
      <c r="D53" s="791">
        <f aca="true" t="shared" si="20" ref="D53:D58">E53+I53+M53</f>
        <v>150000</v>
      </c>
      <c r="E53" s="788"/>
      <c r="F53" s="788"/>
      <c r="G53" s="788"/>
      <c r="H53" s="788"/>
      <c r="I53" s="791">
        <f aca="true" t="shared" si="21" ref="I53:I58">SUM(J53:L53)</f>
        <v>150000</v>
      </c>
      <c r="J53" s="791">
        <v>150000</v>
      </c>
      <c r="K53" s="791"/>
      <c r="L53" s="791"/>
      <c r="M53" s="788"/>
      <c r="N53" s="788"/>
      <c r="O53" s="788"/>
      <c r="P53" s="788"/>
      <c r="Q53" s="788"/>
    </row>
    <row r="54" spans="1:17" s="773" customFormat="1" ht="54" customHeight="1">
      <c r="A54" s="816">
        <v>2</v>
      </c>
      <c r="B54" s="801" t="s">
        <v>655</v>
      </c>
      <c r="C54" s="802"/>
      <c r="D54" s="791">
        <v>73000</v>
      </c>
      <c r="E54" s="792">
        <v>73000</v>
      </c>
      <c r="F54" s="792">
        <v>50000</v>
      </c>
      <c r="G54" s="792"/>
      <c r="H54" s="792">
        <v>23000</v>
      </c>
      <c r="I54" s="791">
        <f t="shared" si="21"/>
        <v>0</v>
      </c>
      <c r="J54" s="792"/>
      <c r="K54" s="792"/>
      <c r="L54" s="792"/>
      <c r="M54" s="792"/>
      <c r="N54" s="792"/>
      <c r="O54" s="792"/>
      <c r="P54" s="792"/>
      <c r="Q54" s="802"/>
    </row>
    <row r="55" spans="1:17" s="773" customFormat="1" ht="79.5" customHeight="1">
      <c r="A55" s="816">
        <v>3</v>
      </c>
      <c r="B55" s="801" t="s">
        <v>783</v>
      </c>
      <c r="C55" s="802"/>
      <c r="D55" s="791">
        <f t="shared" si="20"/>
        <v>83000</v>
      </c>
      <c r="E55" s="792">
        <f>SUM(F55:H55)</f>
        <v>83000</v>
      </c>
      <c r="F55" s="792">
        <v>58000</v>
      </c>
      <c r="G55" s="792"/>
      <c r="H55" s="792">
        <v>25000</v>
      </c>
      <c r="I55" s="791">
        <f t="shared" si="21"/>
        <v>0</v>
      </c>
      <c r="J55" s="792"/>
      <c r="K55" s="792"/>
      <c r="L55" s="792"/>
      <c r="M55" s="792"/>
      <c r="N55" s="792"/>
      <c r="O55" s="792"/>
      <c r="P55" s="792"/>
      <c r="Q55" s="802"/>
    </row>
    <row r="56" spans="1:17" s="773" customFormat="1" ht="78.75" customHeight="1">
      <c r="A56" s="816">
        <v>4</v>
      </c>
      <c r="B56" s="801" t="s">
        <v>667</v>
      </c>
      <c r="C56" s="802" t="s">
        <v>698</v>
      </c>
      <c r="D56" s="791">
        <f t="shared" si="20"/>
        <v>135000</v>
      </c>
      <c r="E56" s="792">
        <f>SUM(F56:H56)</f>
        <v>135000</v>
      </c>
      <c r="F56" s="792"/>
      <c r="G56" s="792"/>
      <c r="H56" s="792">
        <v>135000</v>
      </c>
      <c r="I56" s="791">
        <f t="shared" si="21"/>
        <v>0</v>
      </c>
      <c r="J56" s="792"/>
      <c r="K56" s="792"/>
      <c r="L56" s="792"/>
      <c r="M56" s="792"/>
      <c r="N56" s="792"/>
      <c r="O56" s="792"/>
      <c r="P56" s="792"/>
      <c r="Q56" s="802"/>
    </row>
    <row r="57" spans="1:17" s="773" customFormat="1" ht="37.5" customHeight="1">
      <c r="A57" s="816">
        <v>5</v>
      </c>
      <c r="B57" s="801" t="s">
        <v>709</v>
      </c>
      <c r="C57" s="802"/>
      <c r="D57" s="791">
        <f t="shared" si="20"/>
        <v>30000</v>
      </c>
      <c r="E57" s="792">
        <f>SUM(F57:H57)</f>
        <v>0</v>
      </c>
      <c r="F57" s="792"/>
      <c r="G57" s="792"/>
      <c r="H57" s="792"/>
      <c r="I57" s="791">
        <f t="shared" si="21"/>
        <v>30000</v>
      </c>
      <c r="J57" s="792">
        <v>20000</v>
      </c>
      <c r="K57" s="792">
        <v>5000</v>
      </c>
      <c r="L57" s="792">
        <v>5000</v>
      </c>
      <c r="M57" s="792"/>
      <c r="N57" s="792"/>
      <c r="O57" s="792"/>
      <c r="P57" s="792"/>
      <c r="Q57" s="802"/>
    </row>
    <row r="58" spans="1:17" s="775" customFormat="1" ht="84.75" customHeight="1">
      <c r="A58" s="816">
        <v>6</v>
      </c>
      <c r="B58" s="801" t="s">
        <v>774</v>
      </c>
      <c r="C58" s="802" t="s">
        <v>719</v>
      </c>
      <c r="D58" s="791">
        <f t="shared" si="20"/>
        <v>10000</v>
      </c>
      <c r="E58" s="792">
        <f>SUM(F58:H58)</f>
        <v>0</v>
      </c>
      <c r="F58" s="792"/>
      <c r="G58" s="792"/>
      <c r="H58" s="792"/>
      <c r="I58" s="792">
        <f t="shared" si="21"/>
        <v>10000</v>
      </c>
      <c r="J58" s="792"/>
      <c r="K58" s="792">
        <v>10000</v>
      </c>
      <c r="L58" s="792"/>
      <c r="M58" s="792"/>
      <c r="N58" s="792"/>
      <c r="O58" s="792"/>
      <c r="P58" s="792"/>
      <c r="Q58" s="817"/>
    </row>
    <row r="59" spans="1:17" s="761" customFormat="1" ht="30" customHeight="1">
      <c r="A59" s="818" t="s">
        <v>20</v>
      </c>
      <c r="B59" s="797" t="s">
        <v>771</v>
      </c>
      <c r="C59" s="798"/>
      <c r="D59" s="799">
        <f>SUM(D60:D63)</f>
        <v>681198</v>
      </c>
      <c r="E59" s="799">
        <f aca="true" t="shared" si="22" ref="E59:P59">SUM(E60:E63)</f>
        <v>31198</v>
      </c>
      <c r="F59" s="799">
        <f t="shared" si="22"/>
        <v>0</v>
      </c>
      <c r="G59" s="799">
        <f t="shared" si="22"/>
        <v>5534</v>
      </c>
      <c r="H59" s="799">
        <f t="shared" si="22"/>
        <v>25664</v>
      </c>
      <c r="I59" s="799">
        <f t="shared" si="22"/>
        <v>150000</v>
      </c>
      <c r="J59" s="799">
        <f t="shared" si="22"/>
        <v>50000</v>
      </c>
      <c r="K59" s="799">
        <f t="shared" si="22"/>
        <v>0</v>
      </c>
      <c r="L59" s="799">
        <f t="shared" si="22"/>
        <v>100000</v>
      </c>
      <c r="M59" s="799">
        <f t="shared" si="22"/>
        <v>500000</v>
      </c>
      <c r="N59" s="799">
        <f t="shared" si="22"/>
        <v>400000</v>
      </c>
      <c r="O59" s="799">
        <f t="shared" si="22"/>
        <v>0</v>
      </c>
      <c r="P59" s="799">
        <f t="shared" si="22"/>
        <v>100000</v>
      </c>
      <c r="Q59" s="819"/>
    </row>
    <row r="60" spans="1:17" s="773" customFormat="1" ht="69.75" customHeight="1">
      <c r="A60" s="816">
        <v>1</v>
      </c>
      <c r="B60" s="801" t="s">
        <v>718</v>
      </c>
      <c r="C60" s="802" t="s">
        <v>719</v>
      </c>
      <c r="D60" s="791">
        <f aca="true" t="shared" si="23" ref="D60:D66">E60+I60+M60</f>
        <v>250000</v>
      </c>
      <c r="E60" s="792">
        <f>SUM(F60:H60)</f>
        <v>0</v>
      </c>
      <c r="F60" s="792"/>
      <c r="G60" s="792"/>
      <c r="H60" s="792"/>
      <c r="I60" s="791">
        <f aca="true" t="shared" si="24" ref="I60:I66">SUM(J60:L60)</f>
        <v>150000</v>
      </c>
      <c r="J60" s="792">
        <v>50000</v>
      </c>
      <c r="K60" s="792"/>
      <c r="L60" s="792">
        <v>100000</v>
      </c>
      <c r="M60" s="792">
        <f>N60+O60+P60</f>
        <v>100000</v>
      </c>
      <c r="N60" s="792">
        <v>50000</v>
      </c>
      <c r="O60" s="792"/>
      <c r="P60" s="792">
        <v>50000</v>
      </c>
      <c r="Q60" s="817"/>
    </row>
    <row r="61" spans="1:17" s="775" customFormat="1" ht="55.5" customHeight="1">
      <c r="A61" s="816">
        <v>2</v>
      </c>
      <c r="B61" s="801" t="s">
        <v>776</v>
      </c>
      <c r="C61" s="802" t="s">
        <v>731</v>
      </c>
      <c r="D61" s="791">
        <f t="shared" si="23"/>
        <v>400000</v>
      </c>
      <c r="E61" s="792"/>
      <c r="F61" s="792"/>
      <c r="G61" s="792"/>
      <c r="H61" s="792"/>
      <c r="I61" s="791">
        <f t="shared" si="24"/>
        <v>0</v>
      </c>
      <c r="J61" s="792"/>
      <c r="K61" s="792"/>
      <c r="L61" s="792"/>
      <c r="M61" s="792">
        <v>400000</v>
      </c>
      <c r="N61" s="792">
        <v>350000</v>
      </c>
      <c r="O61" s="792"/>
      <c r="P61" s="792">
        <v>50000</v>
      </c>
      <c r="Q61" s="792"/>
    </row>
    <row r="62" spans="1:17" s="773" customFormat="1" ht="101.25" customHeight="1">
      <c r="A62" s="800" t="s">
        <v>134</v>
      </c>
      <c r="B62" s="801" t="s">
        <v>675</v>
      </c>
      <c r="C62" s="802" t="s">
        <v>786</v>
      </c>
      <c r="D62" s="791">
        <f t="shared" si="23"/>
        <v>29698</v>
      </c>
      <c r="E62" s="792">
        <f>SUM(F62:H62)</f>
        <v>29698</v>
      </c>
      <c r="F62" s="792"/>
      <c r="G62" s="792">
        <v>4034</v>
      </c>
      <c r="H62" s="792">
        <v>25664</v>
      </c>
      <c r="I62" s="791">
        <f t="shared" si="24"/>
        <v>0</v>
      </c>
      <c r="J62" s="792"/>
      <c r="K62" s="792"/>
      <c r="L62" s="792"/>
      <c r="M62" s="792"/>
      <c r="N62" s="792"/>
      <c r="O62" s="792"/>
      <c r="P62" s="792"/>
      <c r="Q62" s="802" t="s">
        <v>702</v>
      </c>
    </row>
    <row r="63" spans="1:17" s="773" customFormat="1" ht="55.5" customHeight="1">
      <c r="A63" s="800" t="s">
        <v>135</v>
      </c>
      <c r="B63" s="801" t="s">
        <v>785</v>
      </c>
      <c r="C63" s="802" t="s">
        <v>665</v>
      </c>
      <c r="D63" s="791">
        <f t="shared" si="23"/>
        <v>1500</v>
      </c>
      <c r="E63" s="792">
        <f>SUM(F63:H63)</f>
        <v>1500</v>
      </c>
      <c r="F63" s="792"/>
      <c r="G63" s="792">
        <v>1500</v>
      </c>
      <c r="H63" s="792"/>
      <c r="I63" s="791">
        <f t="shared" si="24"/>
        <v>0</v>
      </c>
      <c r="J63" s="792"/>
      <c r="K63" s="792"/>
      <c r="L63" s="792"/>
      <c r="M63" s="792"/>
      <c r="N63" s="792"/>
      <c r="O63" s="792"/>
      <c r="P63" s="792"/>
      <c r="Q63" s="817"/>
    </row>
    <row r="64" spans="1:17" s="761" customFormat="1" ht="65.25" customHeight="1">
      <c r="A64" s="796" t="s">
        <v>113</v>
      </c>
      <c r="B64" s="797" t="s">
        <v>789</v>
      </c>
      <c r="C64" s="802" t="s">
        <v>784</v>
      </c>
      <c r="D64" s="799">
        <f t="shared" si="23"/>
        <v>103000</v>
      </c>
      <c r="E64" s="799">
        <f>SUM(F64:H64)</f>
        <v>30000</v>
      </c>
      <c r="F64" s="799"/>
      <c r="G64" s="799">
        <f>4500*5</f>
        <v>22500</v>
      </c>
      <c r="H64" s="799">
        <f>1500*5</f>
        <v>7500</v>
      </c>
      <c r="I64" s="788">
        <f t="shared" si="24"/>
        <v>33000</v>
      </c>
      <c r="J64" s="799"/>
      <c r="K64" s="799">
        <v>25000</v>
      </c>
      <c r="L64" s="799">
        <v>8000</v>
      </c>
      <c r="M64" s="799">
        <f>SUM(N64:P64)</f>
        <v>40000</v>
      </c>
      <c r="N64" s="799"/>
      <c r="O64" s="799">
        <v>30000</v>
      </c>
      <c r="P64" s="799">
        <v>10000</v>
      </c>
      <c r="Q64" s="819"/>
    </row>
    <row r="65" spans="1:17" s="783" customFormat="1" ht="48" customHeight="1">
      <c r="A65" s="818" t="s">
        <v>114</v>
      </c>
      <c r="B65" s="797" t="s">
        <v>793</v>
      </c>
      <c r="C65" s="798" t="s">
        <v>794</v>
      </c>
      <c r="D65" s="788">
        <f t="shared" si="23"/>
        <v>15000</v>
      </c>
      <c r="E65" s="799">
        <v>5000</v>
      </c>
      <c r="F65" s="799"/>
      <c r="G65" s="799">
        <v>4000</v>
      </c>
      <c r="H65" s="799">
        <v>1000</v>
      </c>
      <c r="I65" s="799">
        <v>5000</v>
      </c>
      <c r="J65" s="799"/>
      <c r="K65" s="799">
        <v>4000</v>
      </c>
      <c r="L65" s="799">
        <v>1000</v>
      </c>
      <c r="M65" s="799">
        <v>5000</v>
      </c>
      <c r="N65" s="799"/>
      <c r="O65" s="799">
        <v>4000</v>
      </c>
      <c r="P65" s="799">
        <v>1000</v>
      </c>
      <c r="Q65" s="819"/>
    </row>
    <row r="66" spans="1:17" s="761" customFormat="1" ht="25.5">
      <c r="A66" s="820" t="s">
        <v>758</v>
      </c>
      <c r="B66" s="821" t="s">
        <v>759</v>
      </c>
      <c r="C66" s="819"/>
      <c r="D66" s="822">
        <f t="shared" si="23"/>
        <v>5000</v>
      </c>
      <c r="E66" s="823">
        <f>SUM(F66:H66)</f>
        <v>1500</v>
      </c>
      <c r="F66" s="823"/>
      <c r="G66" s="822">
        <v>1000</v>
      </c>
      <c r="H66" s="823">
        <v>500</v>
      </c>
      <c r="I66" s="823">
        <f t="shared" si="24"/>
        <v>1500</v>
      </c>
      <c r="J66" s="823"/>
      <c r="K66" s="823">
        <v>1000</v>
      </c>
      <c r="L66" s="823">
        <v>500</v>
      </c>
      <c r="M66" s="823">
        <f>SUM(N66:P66)</f>
        <v>2000</v>
      </c>
      <c r="N66" s="823"/>
      <c r="O66" s="823">
        <v>1500</v>
      </c>
      <c r="P66" s="823">
        <v>500</v>
      </c>
      <c r="Q66" s="823"/>
    </row>
    <row r="67" spans="1:17" s="776" customFormat="1" ht="27.75" customHeight="1">
      <c r="A67" s="815" t="s">
        <v>760</v>
      </c>
      <c r="B67" s="807" t="s">
        <v>761</v>
      </c>
      <c r="C67" s="806"/>
      <c r="D67" s="808">
        <f>SUM(D68:D70)</f>
        <v>38500</v>
      </c>
      <c r="E67" s="808">
        <f aca="true" t="shared" si="25" ref="E67:P67">SUM(E68:E70)</f>
        <v>6500</v>
      </c>
      <c r="F67" s="808">
        <f t="shared" si="25"/>
        <v>0</v>
      </c>
      <c r="G67" s="808">
        <f t="shared" si="25"/>
        <v>6500</v>
      </c>
      <c r="H67" s="808">
        <f t="shared" si="25"/>
        <v>0</v>
      </c>
      <c r="I67" s="808">
        <f t="shared" si="25"/>
        <v>23000</v>
      </c>
      <c r="J67" s="808">
        <f t="shared" si="25"/>
        <v>0</v>
      </c>
      <c r="K67" s="808">
        <f t="shared" si="25"/>
        <v>23000</v>
      </c>
      <c r="L67" s="808">
        <f t="shared" si="25"/>
        <v>0</v>
      </c>
      <c r="M67" s="808">
        <f t="shared" si="25"/>
        <v>9000</v>
      </c>
      <c r="N67" s="808">
        <f t="shared" si="25"/>
        <v>0</v>
      </c>
      <c r="O67" s="808">
        <f t="shared" si="25"/>
        <v>9000</v>
      </c>
      <c r="P67" s="808">
        <f t="shared" si="25"/>
        <v>0</v>
      </c>
      <c r="Q67" s="784"/>
    </row>
    <row r="68" spans="1:17" s="777" customFormat="1" ht="55.5" customHeight="1">
      <c r="A68" s="816">
        <v>1</v>
      </c>
      <c r="B68" s="801" t="s">
        <v>659</v>
      </c>
      <c r="C68" s="802" t="s">
        <v>775</v>
      </c>
      <c r="D68" s="791">
        <f>E68+I68+M68</f>
        <v>18000</v>
      </c>
      <c r="E68" s="792">
        <f>SUM(F68:H68)</f>
        <v>5000</v>
      </c>
      <c r="F68" s="792"/>
      <c r="G68" s="792">
        <v>5000</v>
      </c>
      <c r="H68" s="792"/>
      <c r="I68" s="791">
        <f>SUM(J68:L68)</f>
        <v>6000</v>
      </c>
      <c r="J68" s="792"/>
      <c r="K68" s="792">
        <v>6000</v>
      </c>
      <c r="L68" s="792"/>
      <c r="M68" s="792">
        <f>SUM(N68:P68)</f>
        <v>7000</v>
      </c>
      <c r="N68" s="792"/>
      <c r="O68" s="792">
        <v>7000</v>
      </c>
      <c r="P68" s="792"/>
      <c r="Q68" s="817"/>
    </row>
    <row r="69" spans="1:17" s="778" customFormat="1" ht="26.25" customHeight="1">
      <c r="A69" s="824">
        <v>2</v>
      </c>
      <c r="B69" s="825" t="s">
        <v>790</v>
      </c>
      <c r="C69" s="826" t="s">
        <v>802</v>
      </c>
      <c r="D69" s="791">
        <f>E69+I69+M69</f>
        <v>15000</v>
      </c>
      <c r="E69" s="827"/>
      <c r="F69" s="827"/>
      <c r="G69" s="827"/>
      <c r="H69" s="827"/>
      <c r="I69" s="791">
        <f>SUM(J69:L69)</f>
        <v>15000</v>
      </c>
      <c r="J69" s="827"/>
      <c r="K69" s="827">
        <v>15000</v>
      </c>
      <c r="L69" s="827"/>
      <c r="M69" s="792">
        <f>SUM(N69:P69)</f>
        <v>0</v>
      </c>
      <c r="N69" s="827"/>
      <c r="O69" s="827"/>
      <c r="P69" s="827"/>
      <c r="Q69" s="827"/>
    </row>
    <row r="70" spans="1:17" s="779" customFormat="1" ht="53.25" customHeight="1">
      <c r="A70" s="824">
        <v>3</v>
      </c>
      <c r="B70" s="810" t="s">
        <v>762</v>
      </c>
      <c r="C70" s="805"/>
      <c r="D70" s="824">
        <f>E70+I70+M70</f>
        <v>5500</v>
      </c>
      <c r="E70" s="824">
        <f>SUM(F70:H70)</f>
        <v>1500</v>
      </c>
      <c r="F70" s="805"/>
      <c r="G70" s="827">
        <v>1500</v>
      </c>
      <c r="H70" s="827"/>
      <c r="I70" s="791">
        <f>SUM(J70:L70)</f>
        <v>2000</v>
      </c>
      <c r="J70" s="827"/>
      <c r="K70" s="827">
        <v>2000</v>
      </c>
      <c r="L70" s="827"/>
      <c r="M70" s="792">
        <f>SUM(N70:P70)</f>
        <v>2000</v>
      </c>
      <c r="N70" s="827"/>
      <c r="O70" s="827">
        <v>2000</v>
      </c>
      <c r="P70" s="805"/>
      <c r="Q70" s="805"/>
    </row>
    <row r="71" spans="1:2" s="726" customFormat="1" ht="15">
      <c r="A71" s="724"/>
      <c r="B71" s="725"/>
    </row>
    <row r="72" ht="15">
      <c r="B72" s="780"/>
    </row>
    <row r="73" spans="2:3" ht="15">
      <c r="B73" s="780"/>
      <c r="C73" s="730"/>
    </row>
    <row r="74" spans="2:3" ht="18.75">
      <c r="B74" s="728"/>
      <c r="C74" s="730"/>
    </row>
    <row r="75" spans="2:3" ht="18.75">
      <c r="B75" s="728"/>
      <c r="C75" s="730"/>
    </row>
    <row r="76" spans="2:3" ht="18.75">
      <c r="B76" s="781"/>
      <c r="C76" s="730"/>
    </row>
    <row r="77" spans="2:3" ht="18.75">
      <c r="B77" s="728"/>
      <c r="C77" s="730"/>
    </row>
    <row r="78" spans="2:3" ht="18.75">
      <c r="B78" s="728"/>
      <c r="C78" s="730"/>
    </row>
    <row r="79" ht="18.75">
      <c r="B79" s="782"/>
    </row>
    <row r="80" ht="18.75">
      <c r="B80" s="728"/>
    </row>
    <row r="81" ht="18.75">
      <c r="B81" s="728"/>
    </row>
    <row r="82" ht="18.75">
      <c r="B82" s="728"/>
    </row>
    <row r="83" ht="18.75">
      <c r="B83" s="782"/>
    </row>
    <row r="84" ht="18.75">
      <c r="B84" s="728"/>
    </row>
    <row r="85" ht="18.75">
      <c r="B85" s="728"/>
    </row>
    <row r="86" ht="18.75">
      <c r="B86" s="782"/>
    </row>
    <row r="87" ht="18.75">
      <c r="B87" s="728"/>
    </row>
    <row r="88" ht="18.75">
      <c r="B88" s="782"/>
    </row>
    <row r="89" ht="18.75">
      <c r="B89" s="728"/>
    </row>
    <row r="90" spans="3:4" ht="18.75">
      <c r="C90" s="782"/>
      <c r="D90" s="782"/>
    </row>
    <row r="91" ht="18.75">
      <c r="E91" s="782"/>
    </row>
    <row r="92" ht="18.75">
      <c r="B92" s="728"/>
    </row>
    <row r="93" ht="18.75">
      <c r="B93" s="728"/>
    </row>
    <row r="94" ht="18.75">
      <c r="B94" s="728"/>
    </row>
  </sheetData>
  <sheetProtection/>
  <mergeCells count="17">
    <mergeCell ref="N1:P1"/>
    <mergeCell ref="A2:Q2"/>
    <mergeCell ref="A3:Q3"/>
    <mergeCell ref="M6:M7"/>
    <mergeCell ref="N6:P6"/>
    <mergeCell ref="F6:H6"/>
    <mergeCell ref="A5:A7"/>
    <mergeCell ref="B5:B7"/>
    <mergeCell ref="C5:C7"/>
    <mergeCell ref="D5:D7"/>
    <mergeCell ref="J6:L6"/>
    <mergeCell ref="Q6:Q7"/>
    <mergeCell ref="E6:E7"/>
    <mergeCell ref="I6:I7"/>
    <mergeCell ref="E5:H5"/>
    <mergeCell ref="I5:L5"/>
    <mergeCell ref="M5:P5"/>
  </mergeCells>
  <printOptions/>
  <pageMargins left="0.4" right="0.236220472440945" top="0.66" bottom="0.42" header="0.31496062992126" footer="0.31496062992126"/>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AG69"/>
  <sheetViews>
    <sheetView zoomScale="85" zoomScaleNormal="85" zoomScalePageLayoutView="0" workbookViewId="0" topLeftCell="A16">
      <selection activeCell="A1" sqref="A1:IV16384"/>
    </sheetView>
  </sheetViews>
  <sheetFormatPr defaultColWidth="15.7109375" defaultRowHeight="12.75"/>
  <cols>
    <col min="1" max="1" width="15.7109375" style="588" customWidth="1"/>
  </cols>
  <sheetData>
    <row r="1" spans="4:18" ht="15.75" customHeight="1">
      <c r="D1" s="591" t="s">
        <v>699</v>
      </c>
      <c r="E1" s="591"/>
      <c r="H1" s="591" t="s">
        <v>699</v>
      </c>
      <c r="R1" s="629"/>
    </row>
    <row r="2" spans="1:22" s="582" customFormat="1" ht="26.25" customHeight="1">
      <c r="A2" s="863" t="s">
        <v>736</v>
      </c>
      <c r="B2" s="863"/>
      <c r="C2" s="863"/>
      <c r="D2" s="863"/>
      <c r="E2" s="863"/>
      <c r="F2" s="863"/>
      <c r="G2" s="863"/>
      <c r="H2" s="863"/>
      <c r="I2" s="863"/>
      <c r="J2" s="863"/>
      <c r="K2" s="863"/>
      <c r="L2" s="863"/>
      <c r="M2" s="863"/>
      <c r="N2" s="863"/>
      <c r="O2" s="863"/>
      <c r="P2" s="863"/>
      <c r="Q2" s="863"/>
      <c r="R2" s="863"/>
      <c r="S2" s="863"/>
      <c r="T2" s="863"/>
      <c r="U2" s="863"/>
      <c r="V2" s="863"/>
    </row>
    <row r="3" spans="1:22" s="582" customFormat="1" ht="40.5" customHeight="1">
      <c r="A3" s="872" t="s">
        <v>734</v>
      </c>
      <c r="B3" s="872"/>
      <c r="C3" s="872"/>
      <c r="D3" s="872"/>
      <c r="E3" s="872"/>
      <c r="F3" s="872"/>
      <c r="G3" s="872"/>
      <c r="H3" s="872"/>
      <c r="I3" s="872"/>
      <c r="J3" s="872"/>
      <c r="K3" s="872"/>
      <c r="L3" s="872"/>
      <c r="M3" s="872"/>
      <c r="N3" s="872"/>
      <c r="O3" s="872"/>
      <c r="P3" s="872"/>
      <c r="Q3" s="872"/>
      <c r="R3" s="872"/>
      <c r="S3" s="872"/>
      <c r="T3" s="872"/>
      <c r="U3" s="872"/>
      <c r="V3" s="872"/>
    </row>
    <row r="4" spans="1:22" s="583" customFormat="1" ht="19.5" customHeight="1">
      <c r="A4" s="581"/>
      <c r="B4" s="581"/>
      <c r="C4" s="581"/>
      <c r="D4" s="581"/>
      <c r="E4" s="581"/>
      <c r="F4" s="581"/>
      <c r="G4" s="581"/>
      <c r="H4" s="651"/>
      <c r="I4" s="581"/>
      <c r="J4" s="873" t="s">
        <v>710</v>
      </c>
      <c r="K4" s="873"/>
      <c r="L4" s="873"/>
      <c r="M4" s="873"/>
      <c r="N4" s="873"/>
      <c r="O4" s="873"/>
      <c r="P4" s="873"/>
      <c r="Q4" s="873"/>
      <c r="R4" s="593"/>
      <c r="T4" s="874" t="s">
        <v>16</v>
      </c>
      <c r="U4" s="874"/>
      <c r="V4" s="874"/>
    </row>
    <row r="5" spans="1:22" s="584" customFormat="1" ht="30" customHeight="1">
      <c r="A5" s="858" t="s">
        <v>643</v>
      </c>
      <c r="B5" s="858" t="s">
        <v>644</v>
      </c>
      <c r="C5" s="868" t="s">
        <v>716</v>
      </c>
      <c r="D5" s="868" t="s">
        <v>717</v>
      </c>
      <c r="E5" s="868" t="s">
        <v>715</v>
      </c>
      <c r="F5" s="838" t="s">
        <v>647</v>
      </c>
      <c r="G5" s="870"/>
      <c r="H5" s="870"/>
      <c r="I5" s="870"/>
      <c r="J5" s="870"/>
      <c r="K5" s="871"/>
      <c r="L5" s="838" t="s">
        <v>697</v>
      </c>
      <c r="M5" s="870"/>
      <c r="N5" s="870"/>
      <c r="O5" s="870"/>
      <c r="P5" s="870"/>
      <c r="Q5" s="871"/>
      <c r="R5" s="837" t="s">
        <v>18</v>
      </c>
      <c r="S5" s="837"/>
      <c r="T5" s="837"/>
      <c r="U5" s="837"/>
      <c r="V5" s="858" t="s">
        <v>711</v>
      </c>
    </row>
    <row r="6" spans="1:22" s="584" customFormat="1" ht="66" customHeight="1">
      <c r="A6" s="859"/>
      <c r="B6" s="859"/>
      <c r="C6" s="869"/>
      <c r="D6" s="869"/>
      <c r="E6" s="869"/>
      <c r="F6" s="158" t="s">
        <v>663</v>
      </c>
      <c r="G6" s="158">
        <v>2016</v>
      </c>
      <c r="H6" s="158">
        <v>2017</v>
      </c>
      <c r="I6" s="158">
        <v>2018</v>
      </c>
      <c r="J6" s="158">
        <v>2019</v>
      </c>
      <c r="K6" s="158">
        <v>2020</v>
      </c>
      <c r="L6" s="158" t="s">
        <v>662</v>
      </c>
      <c r="M6" s="158">
        <v>2021</v>
      </c>
      <c r="N6" s="158">
        <v>2022</v>
      </c>
      <c r="O6" s="158">
        <v>2023</v>
      </c>
      <c r="P6" s="158">
        <v>2024</v>
      </c>
      <c r="Q6" s="158">
        <v>2025</v>
      </c>
      <c r="R6" s="650" t="s">
        <v>700</v>
      </c>
      <c r="S6" s="650" t="s">
        <v>701</v>
      </c>
      <c r="T6" s="650" t="s">
        <v>702</v>
      </c>
      <c r="U6" s="650" t="s">
        <v>703</v>
      </c>
      <c r="V6" s="858"/>
    </row>
    <row r="7" spans="1:24" s="596" customFormat="1" ht="24.75" customHeight="1">
      <c r="A7" s="594"/>
      <c r="B7" s="647" t="s">
        <v>378</v>
      </c>
      <c r="C7" s="648" t="e">
        <f aca="true" t="shared" si="0" ref="C7:U7">C8+C23</f>
        <v>#REF!</v>
      </c>
      <c r="D7" s="648">
        <f t="shared" si="0"/>
        <v>136553</v>
      </c>
      <c r="E7" s="648" t="e">
        <f t="shared" si="0"/>
        <v>#REF!</v>
      </c>
      <c r="F7" s="648">
        <f t="shared" si="0"/>
        <v>1266223</v>
      </c>
      <c r="G7" s="648">
        <f t="shared" si="0"/>
        <v>67300</v>
      </c>
      <c r="H7" s="648">
        <f t="shared" si="0"/>
        <v>219708</v>
      </c>
      <c r="I7" s="648">
        <f t="shared" si="0"/>
        <v>307805</v>
      </c>
      <c r="J7" s="648">
        <f t="shared" si="0"/>
        <v>374205</v>
      </c>
      <c r="K7" s="648">
        <f t="shared" si="0"/>
        <v>297205</v>
      </c>
      <c r="L7" s="648">
        <f t="shared" si="0"/>
        <v>723500</v>
      </c>
      <c r="M7" s="648">
        <f t="shared" si="0"/>
        <v>84700</v>
      </c>
      <c r="N7" s="648">
        <f t="shared" si="0"/>
        <v>194700</v>
      </c>
      <c r="O7" s="648">
        <f t="shared" si="0"/>
        <v>154700</v>
      </c>
      <c r="P7" s="648">
        <f t="shared" si="0"/>
        <v>154700</v>
      </c>
      <c r="Q7" s="648">
        <f t="shared" si="0"/>
        <v>134700</v>
      </c>
      <c r="R7" s="648" t="e">
        <f t="shared" si="0"/>
        <v>#REF!</v>
      </c>
      <c r="S7" s="648" t="e">
        <f t="shared" si="0"/>
        <v>#REF!</v>
      </c>
      <c r="T7" s="648">
        <f t="shared" si="0"/>
        <v>169971.42693600003</v>
      </c>
      <c r="U7" s="648">
        <f t="shared" si="0"/>
        <v>603200</v>
      </c>
      <c r="V7" s="595"/>
      <c r="X7" s="649"/>
    </row>
    <row r="8" spans="1:22" s="599" customFormat="1" ht="29.25" customHeight="1">
      <c r="A8" s="597" t="s">
        <v>19</v>
      </c>
      <c r="B8" s="122" t="s">
        <v>648</v>
      </c>
      <c r="C8" s="598" t="e">
        <f>C9+C12</f>
        <v>#REF!</v>
      </c>
      <c r="D8" s="598">
        <f>D9+D12</f>
        <v>136553</v>
      </c>
      <c r="E8" s="598" t="e">
        <f>E9+E12</f>
        <v>#REF!</v>
      </c>
      <c r="F8" s="598">
        <f aca="true" t="shared" si="1" ref="F8:U8">F9+F12</f>
        <v>512803</v>
      </c>
      <c r="G8" s="598">
        <f t="shared" si="1"/>
        <v>26000</v>
      </c>
      <c r="H8" s="598">
        <f t="shared" si="1"/>
        <v>133653</v>
      </c>
      <c r="I8" s="598">
        <f t="shared" si="1"/>
        <v>91050</v>
      </c>
      <c r="J8" s="598">
        <f t="shared" si="1"/>
        <v>131050</v>
      </c>
      <c r="K8" s="598">
        <f t="shared" si="1"/>
        <v>131050</v>
      </c>
      <c r="L8" s="598">
        <f t="shared" si="1"/>
        <v>560000</v>
      </c>
      <c r="M8" s="598">
        <f t="shared" si="1"/>
        <v>52000</v>
      </c>
      <c r="N8" s="598">
        <f t="shared" si="1"/>
        <v>162000</v>
      </c>
      <c r="O8" s="598">
        <f t="shared" si="1"/>
        <v>122000</v>
      </c>
      <c r="P8" s="598">
        <f t="shared" si="1"/>
        <v>122000</v>
      </c>
      <c r="Q8" s="598">
        <f t="shared" si="1"/>
        <v>102000</v>
      </c>
      <c r="R8" s="598" t="e">
        <f t="shared" si="1"/>
        <v>#REF!</v>
      </c>
      <c r="S8" s="598">
        <f t="shared" si="1"/>
        <v>29200</v>
      </c>
      <c r="T8" s="653">
        <f t="shared" si="1"/>
        <v>0</v>
      </c>
      <c r="U8" s="653">
        <f t="shared" si="1"/>
        <v>0</v>
      </c>
      <c r="V8" s="623"/>
    </row>
    <row r="9" spans="1:22" s="600" customFormat="1" ht="24.75" customHeight="1">
      <c r="A9" s="597">
        <v>1</v>
      </c>
      <c r="B9" s="122" t="s">
        <v>258</v>
      </c>
      <c r="C9" s="598">
        <f>SUM(C10:C11)</f>
        <v>259935</v>
      </c>
      <c r="D9" s="598">
        <f>SUM(D10:D11)</f>
        <v>136553</v>
      </c>
      <c r="E9" s="598">
        <f>SUM(E10:E11)</f>
        <v>123382</v>
      </c>
      <c r="F9" s="598">
        <f aca="true" t="shared" si="2" ref="F9:U9">SUM(F10:F11)</f>
        <v>128603</v>
      </c>
      <c r="G9" s="598">
        <f t="shared" si="2"/>
        <v>26000</v>
      </c>
      <c r="H9" s="598">
        <f t="shared" si="2"/>
        <v>102603</v>
      </c>
      <c r="I9" s="598">
        <f t="shared" si="2"/>
        <v>0</v>
      </c>
      <c r="J9" s="598">
        <f t="shared" si="2"/>
        <v>0</v>
      </c>
      <c r="K9" s="598">
        <f t="shared" si="2"/>
        <v>0</v>
      </c>
      <c r="L9" s="598">
        <f t="shared" si="2"/>
        <v>0</v>
      </c>
      <c r="M9" s="598">
        <f t="shared" si="2"/>
        <v>0</v>
      </c>
      <c r="N9" s="598">
        <f t="shared" si="2"/>
        <v>0</v>
      </c>
      <c r="O9" s="598">
        <f t="shared" si="2"/>
        <v>0</v>
      </c>
      <c r="P9" s="598">
        <f t="shared" si="2"/>
        <v>0</v>
      </c>
      <c r="Q9" s="598">
        <f t="shared" si="2"/>
        <v>0</v>
      </c>
      <c r="R9" s="598">
        <f t="shared" si="2"/>
        <v>123382</v>
      </c>
      <c r="S9" s="598">
        <f t="shared" si="2"/>
        <v>0</v>
      </c>
      <c r="T9" s="653">
        <f t="shared" si="2"/>
        <v>0</v>
      </c>
      <c r="U9" s="653">
        <f t="shared" si="2"/>
        <v>0</v>
      </c>
      <c r="V9" s="636"/>
    </row>
    <row r="10" spans="1:22" s="603" customFormat="1" ht="44.25" customHeight="1">
      <c r="A10" s="601"/>
      <c r="B10" s="119" t="s">
        <v>649</v>
      </c>
      <c r="C10" s="602">
        <v>48374</v>
      </c>
      <c r="D10" s="602">
        <v>23595</v>
      </c>
      <c r="E10" s="602">
        <f>'Bieu 03- Phương'!D19</f>
        <v>24779</v>
      </c>
      <c r="F10" s="602">
        <f aca="true" t="shared" si="3" ref="F10:F20">SUM(G10:K10)</f>
        <v>30000</v>
      </c>
      <c r="G10" s="602"/>
      <c r="H10" s="602">
        <v>30000</v>
      </c>
      <c r="I10" s="602"/>
      <c r="J10" s="602"/>
      <c r="K10" s="602"/>
      <c r="L10" s="602">
        <f>SUM(M10:Q10)</f>
        <v>0</v>
      </c>
      <c r="M10" s="602"/>
      <c r="N10" s="602"/>
      <c r="O10" s="602"/>
      <c r="P10" s="602"/>
      <c r="Q10" s="602"/>
      <c r="R10" s="602">
        <f>E10</f>
        <v>24779</v>
      </c>
      <c r="S10" s="624"/>
      <c r="T10" s="654"/>
      <c r="U10" s="654"/>
      <c r="V10" s="645"/>
    </row>
    <row r="11" spans="1:22" s="603" customFormat="1" ht="46.5" customHeight="1">
      <c r="A11" s="601"/>
      <c r="B11" s="119" t="s">
        <v>650</v>
      </c>
      <c r="C11" s="602">
        <v>211561</v>
      </c>
      <c r="D11" s="602">
        <v>112958</v>
      </c>
      <c r="E11" s="602">
        <f>'Bieu 03- Phương'!D20</f>
        <v>98603</v>
      </c>
      <c r="F11" s="602">
        <f t="shared" si="3"/>
        <v>98603</v>
      </c>
      <c r="G11" s="602">
        <v>26000</v>
      </c>
      <c r="H11" s="602">
        <v>72603</v>
      </c>
      <c r="I11" s="602"/>
      <c r="J11" s="602"/>
      <c r="K11" s="602"/>
      <c r="L11" s="602">
        <f>SUM(M11:Q11)</f>
        <v>0</v>
      </c>
      <c r="M11" s="602"/>
      <c r="N11" s="602"/>
      <c r="O11" s="602"/>
      <c r="P11" s="602"/>
      <c r="Q11" s="602"/>
      <c r="R11" s="602">
        <f>E11</f>
        <v>98603</v>
      </c>
      <c r="S11" s="644"/>
      <c r="T11" s="654"/>
      <c r="U11" s="654"/>
      <c r="V11" s="637"/>
    </row>
    <row r="12" spans="1:22" s="604" customFormat="1" ht="26.25" customHeight="1">
      <c r="A12" s="643" t="s">
        <v>133</v>
      </c>
      <c r="B12" s="136" t="s">
        <v>651</v>
      </c>
      <c r="C12" s="598" t="e">
        <f>SUM(C13:C22)</f>
        <v>#REF!</v>
      </c>
      <c r="D12" s="598">
        <f aca="true" t="shared" si="4" ref="D12:Q12">SUM(D13:D22)</f>
        <v>0</v>
      </c>
      <c r="E12" s="598" t="e">
        <f t="shared" si="4"/>
        <v>#REF!</v>
      </c>
      <c r="F12" s="598">
        <f t="shared" si="4"/>
        <v>384200</v>
      </c>
      <c r="G12" s="598">
        <f t="shared" si="4"/>
        <v>0</v>
      </c>
      <c r="H12" s="598">
        <f t="shared" si="4"/>
        <v>31050</v>
      </c>
      <c r="I12" s="598">
        <f t="shared" si="4"/>
        <v>91050</v>
      </c>
      <c r="J12" s="598">
        <f t="shared" si="4"/>
        <v>131050</v>
      </c>
      <c r="K12" s="598">
        <f t="shared" si="4"/>
        <v>131050</v>
      </c>
      <c r="L12" s="598">
        <f t="shared" si="4"/>
        <v>560000</v>
      </c>
      <c r="M12" s="598">
        <f t="shared" si="4"/>
        <v>52000</v>
      </c>
      <c r="N12" s="598">
        <f t="shared" si="4"/>
        <v>162000</v>
      </c>
      <c r="O12" s="598">
        <f t="shared" si="4"/>
        <v>122000</v>
      </c>
      <c r="P12" s="598">
        <f t="shared" si="4"/>
        <v>122000</v>
      </c>
      <c r="Q12" s="598">
        <f t="shared" si="4"/>
        <v>102000</v>
      </c>
      <c r="R12" s="598" t="e">
        <f>SUM(R13:R22)</f>
        <v>#REF!</v>
      </c>
      <c r="S12" s="598">
        <f>SUM(S13:S22)</f>
        <v>29200</v>
      </c>
      <c r="T12" s="653">
        <f>SUM(T13:T22)</f>
        <v>0</v>
      </c>
      <c r="U12" s="653">
        <f>SUM(U13:U22)</f>
        <v>0</v>
      </c>
      <c r="V12" s="638"/>
    </row>
    <row r="13" spans="1:22" s="605" customFormat="1" ht="54" customHeight="1">
      <c r="A13" s="606" t="s">
        <v>129</v>
      </c>
      <c r="B13" s="30" t="s">
        <v>652</v>
      </c>
      <c r="C13" s="77">
        <f aca="true" t="shared" si="5" ref="C13:C21">R13+S13+T13+U13</f>
        <v>210000</v>
      </c>
      <c r="D13" s="68"/>
      <c r="E13" s="602">
        <f>'Bieu 03- Phương'!D22</f>
        <v>210000</v>
      </c>
      <c r="F13" s="602">
        <f t="shared" si="3"/>
        <v>200000</v>
      </c>
      <c r="G13" s="77"/>
      <c r="H13" s="77">
        <v>10000</v>
      </c>
      <c r="I13" s="77">
        <v>60000</v>
      </c>
      <c r="J13" s="77">
        <v>70000</v>
      </c>
      <c r="K13" s="77">
        <v>60000</v>
      </c>
      <c r="L13" s="602">
        <f aca="true" t="shared" si="6" ref="L13:L22">SUM(M13:Q13)</f>
        <v>0</v>
      </c>
      <c r="M13" s="77"/>
      <c r="N13" s="77"/>
      <c r="O13" s="77"/>
      <c r="P13" s="77"/>
      <c r="Q13" s="77"/>
      <c r="R13" s="77">
        <f aca="true" t="shared" si="7" ref="R13:R19">E13</f>
        <v>210000</v>
      </c>
      <c r="S13" s="625"/>
      <c r="T13" s="655"/>
      <c r="U13" s="655"/>
      <c r="V13" s="639"/>
    </row>
    <row r="14" spans="1:22" s="605" customFormat="1" ht="42" customHeight="1">
      <c r="A14" s="606" t="s">
        <v>130</v>
      </c>
      <c r="B14" s="30" t="s">
        <v>687</v>
      </c>
      <c r="C14" s="77">
        <f t="shared" si="5"/>
        <v>50000</v>
      </c>
      <c r="D14" s="68"/>
      <c r="E14" s="602">
        <f>'Bieu 03- Phương'!D23</f>
        <v>50000</v>
      </c>
      <c r="F14" s="602">
        <f>SUM(G14:K14)</f>
        <v>100000</v>
      </c>
      <c r="G14" s="77"/>
      <c r="H14" s="77"/>
      <c r="I14" s="77">
        <v>10000</v>
      </c>
      <c r="J14" s="77">
        <v>40000</v>
      </c>
      <c r="K14" s="77">
        <v>50000</v>
      </c>
      <c r="L14" s="602">
        <f t="shared" si="6"/>
        <v>0</v>
      </c>
      <c r="M14" s="77"/>
      <c r="N14" s="77"/>
      <c r="O14" s="77"/>
      <c r="P14" s="77"/>
      <c r="Q14" s="77"/>
      <c r="R14" s="77">
        <f t="shared" si="7"/>
        <v>50000</v>
      </c>
      <c r="S14" s="625"/>
      <c r="T14" s="655"/>
      <c r="U14" s="655"/>
      <c r="V14" s="639"/>
    </row>
    <row r="15" spans="1:22" s="605" customFormat="1" ht="44.25" customHeight="1">
      <c r="A15" s="606" t="s">
        <v>131</v>
      </c>
      <c r="B15" s="30" t="s">
        <v>686</v>
      </c>
      <c r="C15" s="77">
        <f t="shared" si="5"/>
        <v>50000</v>
      </c>
      <c r="D15" s="68"/>
      <c r="E15" s="602">
        <f>'Bieu 03- Phương'!D24</f>
        <v>50000</v>
      </c>
      <c r="F15" s="602">
        <f t="shared" si="3"/>
        <v>0</v>
      </c>
      <c r="G15" s="77"/>
      <c r="H15" s="77"/>
      <c r="I15" s="77"/>
      <c r="J15" s="77"/>
      <c r="K15" s="77"/>
      <c r="L15" s="602">
        <f t="shared" si="6"/>
        <v>50000</v>
      </c>
      <c r="M15" s="77">
        <v>10000</v>
      </c>
      <c r="N15" s="77">
        <v>40000</v>
      </c>
      <c r="O15" s="77"/>
      <c r="P15" s="77"/>
      <c r="Q15" s="77"/>
      <c r="R15" s="77">
        <f t="shared" si="7"/>
        <v>50000</v>
      </c>
      <c r="S15" s="625"/>
      <c r="T15" s="655"/>
      <c r="U15" s="655"/>
      <c r="V15" s="639"/>
    </row>
    <row r="16" spans="1:22" s="652" customFormat="1" ht="45" customHeight="1">
      <c r="A16" s="62" t="s">
        <v>132</v>
      </c>
      <c r="B16" s="30" t="s">
        <v>668</v>
      </c>
      <c r="C16" s="77">
        <f t="shared" si="5"/>
        <v>200000</v>
      </c>
      <c r="D16" s="68"/>
      <c r="E16" s="602">
        <f>'Bieu 03- Phương'!D25</f>
        <v>200000</v>
      </c>
      <c r="F16" s="77">
        <f t="shared" si="3"/>
        <v>0</v>
      </c>
      <c r="G16" s="77"/>
      <c r="H16" s="77"/>
      <c r="I16" s="77"/>
      <c r="J16" s="77"/>
      <c r="K16" s="77"/>
      <c r="L16" s="602">
        <f t="shared" si="6"/>
        <v>200000</v>
      </c>
      <c r="M16" s="77">
        <v>10000</v>
      </c>
      <c r="N16" s="77">
        <v>50000</v>
      </c>
      <c r="O16" s="77">
        <v>50000</v>
      </c>
      <c r="P16" s="77">
        <v>50000</v>
      </c>
      <c r="Q16" s="77">
        <v>40000</v>
      </c>
      <c r="R16" s="77">
        <f t="shared" si="7"/>
        <v>200000</v>
      </c>
      <c r="S16" s="70"/>
      <c r="T16" s="656"/>
      <c r="U16" s="656"/>
      <c r="V16" s="557"/>
    </row>
    <row r="17" spans="1:22" s="652" customFormat="1" ht="45" customHeight="1">
      <c r="A17" s="62" t="s">
        <v>679</v>
      </c>
      <c r="B17" s="30" t="s">
        <v>653</v>
      </c>
      <c r="C17" s="77">
        <f t="shared" si="5"/>
        <v>200000</v>
      </c>
      <c r="D17" s="68"/>
      <c r="E17" s="602">
        <f>'Bieu 03- Phương'!D26</f>
        <v>200000</v>
      </c>
      <c r="F17" s="77">
        <f t="shared" si="3"/>
        <v>0</v>
      </c>
      <c r="G17" s="77"/>
      <c r="H17" s="77"/>
      <c r="I17" s="77"/>
      <c r="J17" s="77"/>
      <c r="K17" s="77"/>
      <c r="L17" s="602">
        <f t="shared" si="6"/>
        <v>200000</v>
      </c>
      <c r="M17" s="77">
        <v>10000</v>
      </c>
      <c r="N17" s="77">
        <v>50000</v>
      </c>
      <c r="O17" s="77">
        <v>50000</v>
      </c>
      <c r="P17" s="77">
        <v>50000</v>
      </c>
      <c r="Q17" s="77">
        <v>40000</v>
      </c>
      <c r="R17" s="77">
        <f t="shared" si="7"/>
        <v>200000</v>
      </c>
      <c r="S17" s="70"/>
      <c r="T17" s="656"/>
      <c r="U17" s="656"/>
      <c r="V17" s="557"/>
    </row>
    <row r="18" spans="1:22" s="652" customFormat="1" ht="45" customHeight="1">
      <c r="A18" s="62" t="s">
        <v>680</v>
      </c>
      <c r="B18" s="30" t="str">
        <f>'[5]Bieu 03'!B18</f>
        <v>Đầu tư bảo tồn , tôn tạo các điểm di tích khác có khả năng phục hồi</v>
      </c>
      <c r="C18" s="77">
        <f t="shared" si="5"/>
        <v>350000</v>
      </c>
      <c r="D18" s="68"/>
      <c r="E18" s="602">
        <f>'Bieu 03- Phương'!D27</f>
        <v>350000</v>
      </c>
      <c r="F18" s="77"/>
      <c r="G18" s="77"/>
      <c r="H18" s="77"/>
      <c r="I18" s="77"/>
      <c r="J18" s="77"/>
      <c r="K18" s="77"/>
      <c r="L18" s="602"/>
      <c r="M18" s="77"/>
      <c r="N18" s="77"/>
      <c r="O18" s="77"/>
      <c r="P18" s="77"/>
      <c r="Q18" s="77"/>
      <c r="R18" s="77">
        <f>E18</f>
        <v>350000</v>
      </c>
      <c r="S18" s="70"/>
      <c r="T18" s="656"/>
      <c r="U18" s="656"/>
      <c r="V18" s="557"/>
    </row>
    <row r="19" spans="1:22" s="605" customFormat="1" ht="50.25" customHeight="1">
      <c r="A19" s="62" t="s">
        <v>681</v>
      </c>
      <c r="B19" s="30" t="s">
        <v>671</v>
      </c>
      <c r="C19" s="77">
        <f t="shared" si="5"/>
        <v>45000</v>
      </c>
      <c r="D19" s="68"/>
      <c r="E19" s="602">
        <f>'Bieu 03- Phương'!D28</f>
        <v>45000</v>
      </c>
      <c r="F19" s="602">
        <f t="shared" si="3"/>
        <v>20000</v>
      </c>
      <c r="G19" s="77"/>
      <c r="H19" s="77">
        <v>5000</v>
      </c>
      <c r="I19" s="77">
        <v>5000</v>
      </c>
      <c r="J19" s="77">
        <v>5000</v>
      </c>
      <c r="K19" s="77">
        <v>5000</v>
      </c>
      <c r="L19" s="602">
        <f t="shared" si="6"/>
        <v>25000</v>
      </c>
      <c r="M19" s="77">
        <v>5000</v>
      </c>
      <c r="N19" s="77">
        <v>5000</v>
      </c>
      <c r="O19" s="77">
        <v>5000</v>
      </c>
      <c r="P19" s="77">
        <v>5000</v>
      </c>
      <c r="Q19" s="77">
        <v>5000</v>
      </c>
      <c r="R19" s="77">
        <f t="shared" si="7"/>
        <v>45000</v>
      </c>
      <c r="S19" s="625"/>
      <c r="T19" s="655"/>
      <c r="U19" s="655"/>
      <c r="V19" s="639"/>
    </row>
    <row r="20" spans="1:22" s="605" customFormat="1" ht="35.25" customHeight="1">
      <c r="A20" s="62" t="s">
        <v>682</v>
      </c>
      <c r="B20" s="30" t="s">
        <v>690</v>
      </c>
      <c r="C20" s="77">
        <f t="shared" si="5"/>
        <v>4200</v>
      </c>
      <c r="D20" s="68"/>
      <c r="E20" s="602">
        <f>'Bieu 03- Phương'!D29</f>
        <v>4200</v>
      </c>
      <c r="F20" s="602">
        <f t="shared" si="3"/>
        <v>4200</v>
      </c>
      <c r="G20" s="77"/>
      <c r="H20" s="77">
        <v>1050</v>
      </c>
      <c r="I20" s="77">
        <v>1050</v>
      </c>
      <c r="J20" s="77">
        <v>1050</v>
      </c>
      <c r="K20" s="77">
        <v>1050</v>
      </c>
      <c r="L20" s="602">
        <f t="shared" si="6"/>
        <v>0</v>
      </c>
      <c r="M20" s="77"/>
      <c r="N20" s="77"/>
      <c r="O20" s="77"/>
      <c r="P20" s="77"/>
      <c r="Q20" s="77"/>
      <c r="R20" s="77"/>
      <c r="S20" s="646">
        <f>E20</f>
        <v>4200</v>
      </c>
      <c r="T20" s="655"/>
      <c r="U20" s="655"/>
      <c r="V20" s="639"/>
    </row>
    <row r="21" spans="1:22" s="607" customFormat="1" ht="41.25" customHeight="1">
      <c r="A21" s="62" t="s">
        <v>538</v>
      </c>
      <c r="B21" s="30" t="s">
        <v>673</v>
      </c>
      <c r="C21" s="77">
        <f t="shared" si="5"/>
        <v>100000</v>
      </c>
      <c r="D21" s="68"/>
      <c r="E21" s="602" t="e">
        <f>'Bieu 03- Phương'!#REF!</f>
        <v>#REF!</v>
      </c>
      <c r="F21" s="77">
        <f>SUM(G21:K21)</f>
        <v>40000</v>
      </c>
      <c r="G21" s="77"/>
      <c r="H21" s="77">
        <v>10000</v>
      </c>
      <c r="I21" s="77">
        <v>10000</v>
      </c>
      <c r="J21" s="77">
        <v>10000</v>
      </c>
      <c r="K21" s="77">
        <v>10000</v>
      </c>
      <c r="L21" s="602">
        <f t="shared" si="6"/>
        <v>55000</v>
      </c>
      <c r="M21" s="77">
        <v>11000</v>
      </c>
      <c r="N21" s="77">
        <v>11000</v>
      </c>
      <c r="O21" s="77">
        <v>11000</v>
      </c>
      <c r="P21" s="77">
        <v>11000</v>
      </c>
      <c r="Q21" s="77">
        <v>11000</v>
      </c>
      <c r="R21" s="77">
        <v>75000</v>
      </c>
      <c r="S21" s="625">
        <f>25000</f>
        <v>25000</v>
      </c>
      <c r="T21" s="657"/>
      <c r="U21" s="657"/>
      <c r="V21" s="640"/>
    </row>
    <row r="22" spans="1:22" s="607" customFormat="1" ht="29.25" customHeight="1">
      <c r="A22" s="62" t="s">
        <v>688</v>
      </c>
      <c r="B22" s="30" t="s">
        <v>661</v>
      </c>
      <c r="C22" s="77" t="e">
        <f>R22+S22+T22+U22</f>
        <v>#REF!</v>
      </c>
      <c r="D22" s="68"/>
      <c r="E22" s="602" t="e">
        <f>'Bieu 03- Phương'!#REF!</f>
        <v>#REF!</v>
      </c>
      <c r="F22" s="77">
        <f>SUM(G22:K22)</f>
        <v>20000</v>
      </c>
      <c r="G22" s="77"/>
      <c r="H22" s="77">
        <v>5000</v>
      </c>
      <c r="I22" s="77">
        <v>5000</v>
      </c>
      <c r="J22" s="77">
        <v>5000</v>
      </c>
      <c r="K22" s="77">
        <v>5000</v>
      </c>
      <c r="L22" s="602">
        <f t="shared" si="6"/>
        <v>30000</v>
      </c>
      <c r="M22" s="77">
        <v>6000</v>
      </c>
      <c r="N22" s="77">
        <v>6000</v>
      </c>
      <c r="O22" s="77">
        <v>6000</v>
      </c>
      <c r="P22" s="77">
        <v>6000</v>
      </c>
      <c r="Q22" s="77">
        <v>6000</v>
      </c>
      <c r="R22" s="77" t="e">
        <f>E22</f>
        <v>#REF!</v>
      </c>
      <c r="S22" s="625"/>
      <c r="T22" s="640"/>
      <c r="U22" s="640"/>
      <c r="V22" s="640"/>
    </row>
    <row r="23" spans="1:22" s="599" customFormat="1" ht="24.75" customHeight="1">
      <c r="A23" s="597" t="s">
        <v>20</v>
      </c>
      <c r="B23" s="122" t="s">
        <v>654</v>
      </c>
      <c r="C23" s="598" t="e">
        <f>C24+C25+C26+C27+C28+C29+C30+C31+C32+C33+C34+C35+C39+C40+C41+C42</f>
        <v>#REF!</v>
      </c>
      <c r="D23" s="598">
        <f>D24+D25+D26+D27+D28+D29+D30+D31+D32+D33+D34+D35+D39+D40+D41+D42</f>
        <v>0</v>
      </c>
      <c r="E23" s="598" t="e">
        <f aca="true" t="shared" si="8" ref="E23:T23">E24+E25+E26+E27+E28+E29+E30+E31+E32+E33+E34+E35+E39+E40+E41+E42</f>
        <v>#REF!</v>
      </c>
      <c r="F23" s="598">
        <f t="shared" si="8"/>
        <v>753420</v>
      </c>
      <c r="G23" s="598">
        <f t="shared" si="8"/>
        <v>41300</v>
      </c>
      <c r="H23" s="598">
        <f t="shared" si="8"/>
        <v>86055</v>
      </c>
      <c r="I23" s="598">
        <f t="shared" si="8"/>
        <v>216755</v>
      </c>
      <c r="J23" s="598">
        <f t="shared" si="8"/>
        <v>243155</v>
      </c>
      <c r="K23" s="598">
        <f t="shared" si="8"/>
        <v>166155</v>
      </c>
      <c r="L23" s="598">
        <f t="shared" si="8"/>
        <v>163500</v>
      </c>
      <c r="M23" s="598">
        <f t="shared" si="8"/>
        <v>32700</v>
      </c>
      <c r="N23" s="598">
        <f t="shared" si="8"/>
        <v>32700</v>
      </c>
      <c r="O23" s="598">
        <f t="shared" si="8"/>
        <v>32700</v>
      </c>
      <c r="P23" s="598">
        <f t="shared" si="8"/>
        <v>32700</v>
      </c>
      <c r="Q23" s="598">
        <f t="shared" si="8"/>
        <v>32700</v>
      </c>
      <c r="R23" s="598">
        <f t="shared" si="8"/>
        <v>548100</v>
      </c>
      <c r="S23" s="598" t="e">
        <f t="shared" si="8"/>
        <v>#REF!</v>
      </c>
      <c r="T23" s="598">
        <f t="shared" si="8"/>
        <v>169971.42693600003</v>
      </c>
      <c r="U23" s="598">
        <f>U24+U25+U26+U27+U28+U29+U30+U31+U32+U33+U34+U35+U39+U40+U41+U42</f>
        <v>603200</v>
      </c>
      <c r="V23" s="623"/>
    </row>
    <row r="24" spans="1:22" s="754" customFormat="1" ht="55.5" customHeight="1">
      <c r="A24" s="744">
        <v>1</v>
      </c>
      <c r="B24" s="745" t="str">
        <f>'Bieu 03- Phương'!B53</f>
        <v>Triển khai hoàn thành bức tranh Panoma và mở rộng không gian Bảo tàng chiến thắng Điện Biên Phủ</v>
      </c>
      <c r="C24" s="77">
        <f aca="true" t="shared" si="9" ref="C24:C35">R24+S24+T24+U24</f>
        <v>150000</v>
      </c>
      <c r="D24" s="752"/>
      <c r="E24" s="748">
        <f>'Bieu 03- Phương'!D53</f>
        <v>150000</v>
      </c>
      <c r="F24" s="752"/>
      <c r="G24" s="752"/>
      <c r="H24" s="752"/>
      <c r="I24" s="752"/>
      <c r="J24" s="752"/>
      <c r="K24" s="752"/>
      <c r="L24" s="752"/>
      <c r="M24" s="752"/>
      <c r="N24" s="752"/>
      <c r="O24" s="752"/>
      <c r="P24" s="752"/>
      <c r="Q24" s="752"/>
      <c r="R24" s="748">
        <v>140000</v>
      </c>
      <c r="S24" s="748">
        <v>10000</v>
      </c>
      <c r="T24" s="752"/>
      <c r="U24" s="752"/>
      <c r="V24" s="753"/>
    </row>
    <row r="25" spans="1:22" s="605" customFormat="1" ht="46.5" customHeight="1">
      <c r="A25" s="608">
        <v>2</v>
      </c>
      <c r="B25" s="30" t="s">
        <v>655</v>
      </c>
      <c r="C25" s="77">
        <f t="shared" si="9"/>
        <v>73000</v>
      </c>
      <c r="D25" s="68"/>
      <c r="E25" s="602">
        <f>'Bieu 03- Phương'!D54</f>
        <v>73000</v>
      </c>
      <c r="F25" s="77">
        <f>SUM(G25:K25)</f>
        <v>90000</v>
      </c>
      <c r="G25" s="77"/>
      <c r="H25" s="77">
        <v>1000</v>
      </c>
      <c r="I25" s="77">
        <v>10000</v>
      </c>
      <c r="J25" s="77">
        <v>40000</v>
      </c>
      <c r="K25" s="77">
        <v>39000</v>
      </c>
      <c r="L25" s="602">
        <f aca="true" t="shared" si="10" ref="L25:L34">SUM(M25:Q25)</f>
        <v>0</v>
      </c>
      <c r="M25" s="77"/>
      <c r="N25" s="77"/>
      <c r="O25" s="77"/>
      <c r="P25" s="77"/>
      <c r="Q25" s="77"/>
      <c r="R25" s="77"/>
      <c r="S25" s="625"/>
      <c r="T25" s="639"/>
      <c r="U25" s="627">
        <f>E25</f>
        <v>73000</v>
      </c>
      <c r="V25" s="639"/>
    </row>
    <row r="26" spans="1:22" s="607" customFormat="1" ht="48.75" customHeight="1">
      <c r="A26" s="162">
        <v>3</v>
      </c>
      <c r="B26" s="30" t="s">
        <v>656</v>
      </c>
      <c r="C26" s="77">
        <f t="shared" si="9"/>
        <v>83000</v>
      </c>
      <c r="D26" s="68"/>
      <c r="E26" s="602">
        <f>'Bieu 03- Phương'!D55</f>
        <v>83000</v>
      </c>
      <c r="F26" s="77">
        <f aca="true" t="shared" si="11" ref="F26:F42">SUM(G26:K26)</f>
        <v>83000</v>
      </c>
      <c r="G26" s="77"/>
      <c r="H26" s="77">
        <v>1000</v>
      </c>
      <c r="I26" s="77">
        <v>40000</v>
      </c>
      <c r="J26" s="77">
        <v>42000</v>
      </c>
      <c r="K26" s="77"/>
      <c r="L26" s="602">
        <f t="shared" si="10"/>
        <v>0</v>
      </c>
      <c r="M26" s="77"/>
      <c r="N26" s="77"/>
      <c r="O26" s="77"/>
      <c r="P26" s="77"/>
      <c r="Q26" s="77"/>
      <c r="R26" s="77">
        <f>E26-U26</f>
        <v>58100</v>
      </c>
      <c r="S26" s="626"/>
      <c r="T26" s="640"/>
      <c r="U26" s="658">
        <f>E26*0.3</f>
        <v>24900</v>
      </c>
      <c r="V26" s="640"/>
    </row>
    <row r="27" spans="1:22" s="605" customFormat="1" ht="48" customHeight="1">
      <c r="A27" s="608">
        <v>4</v>
      </c>
      <c r="B27" s="30" t="s">
        <v>667</v>
      </c>
      <c r="C27" s="77">
        <f t="shared" si="9"/>
        <v>135000</v>
      </c>
      <c r="D27" s="68"/>
      <c r="E27" s="602">
        <f>'Bieu 03- Phương'!D56</f>
        <v>135000</v>
      </c>
      <c r="F27" s="77">
        <f t="shared" si="11"/>
        <v>300000</v>
      </c>
      <c r="G27" s="77"/>
      <c r="H27" s="77"/>
      <c r="I27" s="77">
        <v>100000</v>
      </c>
      <c r="J27" s="77">
        <v>100000</v>
      </c>
      <c r="K27" s="77">
        <v>100000</v>
      </c>
      <c r="L27" s="602">
        <f t="shared" si="10"/>
        <v>0</v>
      </c>
      <c r="M27" s="77"/>
      <c r="N27" s="77"/>
      <c r="O27" s="77"/>
      <c r="P27" s="77"/>
      <c r="Q27" s="77"/>
      <c r="R27" s="68"/>
      <c r="S27" s="626"/>
      <c r="T27" s="639"/>
      <c r="U27" s="627">
        <f>E27</f>
        <v>135000</v>
      </c>
      <c r="V27" s="639"/>
    </row>
    <row r="28" spans="1:22" s="605" customFormat="1" ht="48" customHeight="1">
      <c r="A28" s="162">
        <v>5</v>
      </c>
      <c r="B28" s="30" t="str">
        <f>'[5]Bieu 03'!B27</f>
        <v>Đầu tư bổ sung một số hạng mục tại Đồi E</v>
      </c>
      <c r="C28" s="77">
        <f t="shared" si="9"/>
        <v>30000</v>
      </c>
      <c r="D28" s="68"/>
      <c r="E28" s="602">
        <f>'Bieu 03- Phương'!D57</f>
        <v>30000</v>
      </c>
      <c r="F28" s="77"/>
      <c r="G28" s="77"/>
      <c r="H28" s="77"/>
      <c r="I28" s="77"/>
      <c r="J28" s="77"/>
      <c r="K28" s="77"/>
      <c r="L28" s="602"/>
      <c r="M28" s="77"/>
      <c r="N28" s="77"/>
      <c r="O28" s="77"/>
      <c r="P28" s="77"/>
      <c r="Q28" s="77"/>
      <c r="R28" s="68"/>
      <c r="S28" s="626"/>
      <c r="T28" s="639"/>
      <c r="U28" s="627">
        <f>E28</f>
        <v>30000</v>
      </c>
      <c r="V28" s="639"/>
    </row>
    <row r="29" spans="1:22" s="751" customFormat="1" ht="48" customHeight="1">
      <c r="A29" s="744">
        <v>6</v>
      </c>
      <c r="B29" s="745" t="e">
        <f>'Bieu 03- Phương'!#REF!</f>
        <v>#REF!</v>
      </c>
      <c r="C29" s="77">
        <f t="shared" si="9"/>
        <v>400000</v>
      </c>
      <c r="D29" s="747"/>
      <c r="E29" s="602" t="e">
        <f>'Bieu 03- Phương'!#REF!</f>
        <v>#REF!</v>
      </c>
      <c r="F29" s="746"/>
      <c r="G29" s="746"/>
      <c r="H29" s="746"/>
      <c r="I29" s="746"/>
      <c r="J29" s="746"/>
      <c r="K29" s="746"/>
      <c r="L29" s="748"/>
      <c r="M29" s="746"/>
      <c r="N29" s="746"/>
      <c r="O29" s="746"/>
      <c r="P29" s="746"/>
      <c r="Q29" s="746"/>
      <c r="R29" s="747">
        <v>350000</v>
      </c>
      <c r="S29" s="747"/>
      <c r="T29" s="749"/>
      <c r="U29" s="750">
        <v>50000</v>
      </c>
      <c r="V29" s="749"/>
    </row>
    <row r="30" spans="1:22" s="605" customFormat="1" ht="48" customHeight="1">
      <c r="A30" s="608">
        <v>7</v>
      </c>
      <c r="B30" s="30" t="s">
        <v>669</v>
      </c>
      <c r="C30" s="77" t="e">
        <f t="shared" si="9"/>
        <v>#REF!</v>
      </c>
      <c r="D30" s="68"/>
      <c r="E30" s="602" t="e">
        <f>'Bieu 03- Phương'!#REF!</f>
        <v>#REF!</v>
      </c>
      <c r="F30" s="77">
        <f>SUM(G30:K30)</f>
        <v>20</v>
      </c>
      <c r="G30" s="77"/>
      <c r="H30" s="77">
        <v>5</v>
      </c>
      <c r="I30" s="77">
        <v>5</v>
      </c>
      <c r="J30" s="77">
        <v>5</v>
      </c>
      <c r="K30" s="77">
        <v>5</v>
      </c>
      <c r="L30" s="602">
        <f t="shared" si="10"/>
        <v>0</v>
      </c>
      <c r="M30" s="77"/>
      <c r="N30" s="77"/>
      <c r="O30" s="77"/>
      <c r="P30" s="77"/>
      <c r="Q30" s="77"/>
      <c r="R30" s="68"/>
      <c r="S30" s="628" t="e">
        <f>E30</f>
        <v>#REF!</v>
      </c>
      <c r="T30" s="639"/>
      <c r="U30" s="639"/>
      <c r="V30" s="639"/>
    </row>
    <row r="31" spans="1:22" s="605" customFormat="1" ht="39" customHeight="1">
      <c r="A31" s="162">
        <v>8</v>
      </c>
      <c r="B31" s="30" t="s">
        <v>657</v>
      </c>
      <c r="C31" s="77" t="e">
        <f t="shared" si="9"/>
        <v>#REF!</v>
      </c>
      <c r="D31" s="68"/>
      <c r="E31" s="602" t="e">
        <f>'Bieu 03- Phương'!#REF!</f>
        <v>#REF!</v>
      </c>
      <c r="F31" s="77">
        <f>SUM(G31:K31)</f>
        <v>200</v>
      </c>
      <c r="G31" s="77"/>
      <c r="H31" s="77">
        <v>50</v>
      </c>
      <c r="I31" s="77">
        <v>50</v>
      </c>
      <c r="J31" s="77">
        <v>50</v>
      </c>
      <c r="K31" s="77">
        <v>50</v>
      </c>
      <c r="L31" s="77">
        <f t="shared" si="10"/>
        <v>0</v>
      </c>
      <c r="M31" s="77"/>
      <c r="N31" s="77"/>
      <c r="O31" s="77"/>
      <c r="P31" s="77"/>
      <c r="Q31" s="77"/>
      <c r="R31" s="73"/>
      <c r="S31" s="627" t="e">
        <f>E31</f>
        <v>#REF!</v>
      </c>
      <c r="T31" s="639"/>
      <c r="U31" s="639"/>
      <c r="V31" s="639"/>
    </row>
    <row r="32" spans="1:22" s="605" customFormat="1" ht="76.5" customHeight="1">
      <c r="A32" s="608">
        <v>9</v>
      </c>
      <c r="B32" s="30" t="s">
        <v>721</v>
      </c>
      <c r="C32" s="77">
        <f t="shared" si="9"/>
        <v>10000</v>
      </c>
      <c r="D32" s="68"/>
      <c r="E32" s="602">
        <f>'Bieu 03- Phương'!D58</f>
        <v>10000</v>
      </c>
      <c r="F32" s="77"/>
      <c r="G32" s="77"/>
      <c r="H32" s="77"/>
      <c r="I32" s="77"/>
      <c r="J32" s="77"/>
      <c r="K32" s="77"/>
      <c r="L32" s="77"/>
      <c r="M32" s="77"/>
      <c r="N32" s="77"/>
      <c r="O32" s="77"/>
      <c r="P32" s="77"/>
      <c r="Q32" s="77"/>
      <c r="R32" s="73"/>
      <c r="S32" s="627">
        <f>E32</f>
        <v>10000</v>
      </c>
      <c r="T32" s="639"/>
      <c r="U32" s="639"/>
      <c r="V32" s="639"/>
    </row>
    <row r="33" spans="1:22" s="605" customFormat="1" ht="39.75" customHeight="1">
      <c r="A33" s="162">
        <v>10</v>
      </c>
      <c r="B33" s="30" t="s">
        <v>659</v>
      </c>
      <c r="C33" s="77">
        <f t="shared" si="9"/>
        <v>681198</v>
      </c>
      <c r="D33" s="68"/>
      <c r="E33" s="602">
        <f>'Bieu 03- Phương'!D59</f>
        <v>681198</v>
      </c>
      <c r="F33" s="77">
        <f t="shared" si="11"/>
        <v>8500</v>
      </c>
      <c r="G33" s="77">
        <v>1000</v>
      </c>
      <c r="H33" s="77">
        <v>1500</v>
      </c>
      <c r="I33" s="77">
        <v>2000</v>
      </c>
      <c r="J33" s="77">
        <v>2000</v>
      </c>
      <c r="K33" s="77">
        <v>2000</v>
      </c>
      <c r="L33" s="602">
        <f t="shared" si="10"/>
        <v>12500</v>
      </c>
      <c r="M33" s="77">
        <v>2500</v>
      </c>
      <c r="N33" s="77">
        <v>2500</v>
      </c>
      <c r="O33" s="77">
        <v>2500</v>
      </c>
      <c r="P33" s="77">
        <v>2500</v>
      </c>
      <c r="Q33" s="77">
        <v>2500</v>
      </c>
      <c r="R33" s="73"/>
      <c r="S33" s="627">
        <f>E33</f>
        <v>681198</v>
      </c>
      <c r="T33" s="639"/>
      <c r="U33" s="639"/>
      <c r="V33" s="639"/>
    </row>
    <row r="34" spans="1:22" s="605" customFormat="1" ht="66.75" customHeight="1">
      <c r="A34" s="608">
        <v>11</v>
      </c>
      <c r="B34" s="30" t="s">
        <v>718</v>
      </c>
      <c r="C34" s="77">
        <f t="shared" si="9"/>
        <v>250000</v>
      </c>
      <c r="D34" s="68"/>
      <c r="E34" s="602">
        <f>'Bieu 03- Phương'!D60</f>
        <v>250000</v>
      </c>
      <c r="F34" s="77">
        <f t="shared" si="11"/>
        <v>50000</v>
      </c>
      <c r="G34" s="77"/>
      <c r="H34" s="77">
        <v>10000</v>
      </c>
      <c r="I34" s="77">
        <v>10000</v>
      </c>
      <c r="J34" s="77">
        <v>15000</v>
      </c>
      <c r="K34" s="77">
        <v>15000</v>
      </c>
      <c r="L34" s="602">
        <f t="shared" si="10"/>
        <v>150000</v>
      </c>
      <c r="M34" s="77">
        <v>30000</v>
      </c>
      <c r="N34" s="77">
        <v>30000</v>
      </c>
      <c r="O34" s="77">
        <v>30000</v>
      </c>
      <c r="P34" s="77">
        <v>30000</v>
      </c>
      <c r="Q34" s="77">
        <v>30000</v>
      </c>
      <c r="R34" s="76"/>
      <c r="S34" s="639"/>
      <c r="T34" s="639"/>
      <c r="U34" s="627">
        <f>E34</f>
        <v>250000</v>
      </c>
      <c r="V34" s="639"/>
    </row>
    <row r="35" spans="1:23" s="605" customFormat="1" ht="53.25" customHeight="1">
      <c r="A35" s="162">
        <v>12</v>
      </c>
      <c r="B35" s="30" t="s">
        <v>658</v>
      </c>
      <c r="C35" s="77">
        <f t="shared" si="9"/>
        <v>191091.92854800003</v>
      </c>
      <c r="D35" s="77">
        <f aca="true" t="shared" si="12" ref="D35:U35">D36+D37+D38</f>
        <v>0</v>
      </c>
      <c r="E35" s="602" t="e">
        <f>E36+E37+E38</f>
        <v>#REF!</v>
      </c>
      <c r="F35" s="77">
        <f t="shared" si="12"/>
        <v>199800</v>
      </c>
      <c r="G35" s="77">
        <f t="shared" si="12"/>
        <v>38800</v>
      </c>
      <c r="H35" s="77">
        <f t="shared" si="12"/>
        <v>72400</v>
      </c>
      <c r="I35" s="77">
        <f t="shared" si="12"/>
        <v>54600</v>
      </c>
      <c r="J35" s="77">
        <f t="shared" si="12"/>
        <v>34000</v>
      </c>
      <c r="K35" s="77">
        <f t="shared" si="12"/>
        <v>0</v>
      </c>
      <c r="L35" s="77">
        <f t="shared" si="12"/>
        <v>0</v>
      </c>
      <c r="M35" s="77">
        <f t="shared" si="12"/>
        <v>0</v>
      </c>
      <c r="N35" s="77">
        <f t="shared" si="12"/>
        <v>0</v>
      </c>
      <c r="O35" s="77">
        <f t="shared" si="12"/>
        <v>0</v>
      </c>
      <c r="P35" s="77">
        <f t="shared" si="12"/>
        <v>0</v>
      </c>
      <c r="Q35" s="77">
        <f t="shared" si="12"/>
        <v>0</v>
      </c>
      <c r="R35" s="77">
        <f t="shared" si="12"/>
        <v>0</v>
      </c>
      <c r="S35" s="77">
        <f>S36+S37+S38</f>
        <v>21120.501612</v>
      </c>
      <c r="T35" s="77">
        <f>T36+T37+T38</f>
        <v>169971.42693600003</v>
      </c>
      <c r="U35" s="77">
        <f t="shared" si="12"/>
        <v>0</v>
      </c>
      <c r="V35" s="659" t="s">
        <v>706</v>
      </c>
      <c r="W35" s="661"/>
    </row>
    <row r="36" spans="1:23" s="634" customFormat="1" ht="85.5" customHeight="1">
      <c r="A36" s="630" t="s">
        <v>726</v>
      </c>
      <c r="B36" s="631" t="s">
        <v>704</v>
      </c>
      <c r="C36" s="633">
        <f aca="true" t="shared" si="13" ref="C36:C42">R36+S36+T36+U36</f>
        <v>29697.741287999997</v>
      </c>
      <c r="D36" s="103"/>
      <c r="E36" s="632">
        <f>'Bieu 03- Phương'!D62</f>
        <v>29698</v>
      </c>
      <c r="F36" s="633">
        <f>SUM(G36:K36)</f>
        <v>31000</v>
      </c>
      <c r="G36" s="633">
        <v>11400</v>
      </c>
      <c r="H36" s="633">
        <v>15000</v>
      </c>
      <c r="I36" s="633">
        <v>4600</v>
      </c>
      <c r="J36" s="633"/>
      <c r="K36" s="633"/>
      <c r="L36" s="632"/>
      <c r="M36" s="633"/>
      <c r="N36" s="633"/>
      <c r="O36" s="633"/>
      <c r="P36" s="633"/>
      <c r="Q36" s="633"/>
      <c r="R36" s="80"/>
      <c r="S36" s="664">
        <f>(114727+7273+69758)*21.036/1000</f>
        <v>4033.821288</v>
      </c>
      <c r="T36" s="633">
        <f>(1147273+72727)*21.036/1000</f>
        <v>25663.92</v>
      </c>
      <c r="U36" s="660"/>
      <c r="V36" s="641"/>
      <c r="W36" s="663"/>
    </row>
    <row r="37" spans="1:23" s="635" customFormat="1" ht="76.5" customHeight="1">
      <c r="A37" s="630" t="s">
        <v>727</v>
      </c>
      <c r="B37" s="631" t="s">
        <v>705</v>
      </c>
      <c r="C37" s="633">
        <f t="shared" si="13"/>
        <v>147335.82846000002</v>
      </c>
      <c r="D37" s="103"/>
      <c r="E37" s="632" t="e">
        <f>'Bieu 03- Phương'!#REF!</f>
        <v>#REF!</v>
      </c>
      <c r="F37" s="633">
        <f t="shared" si="11"/>
        <v>154000</v>
      </c>
      <c r="G37" s="633">
        <v>20000</v>
      </c>
      <c r="H37" s="633">
        <v>50000</v>
      </c>
      <c r="I37" s="633">
        <v>50000</v>
      </c>
      <c r="J37" s="633">
        <v>34000</v>
      </c>
      <c r="K37" s="633"/>
      <c r="L37" s="632">
        <f>SUM(M37:Q37)</f>
        <v>0</v>
      </c>
      <c r="M37" s="633"/>
      <c r="N37" s="633"/>
      <c r="O37" s="633"/>
      <c r="P37" s="633"/>
      <c r="Q37" s="633"/>
      <c r="R37" s="103"/>
      <c r="S37" s="633">
        <f>(621364+2273+143985)*21.036/1000</f>
        <v>16147.696392000002</v>
      </c>
      <c r="T37" s="633">
        <f>(6213636+22727)*21.036/1000</f>
        <v>131188.132068</v>
      </c>
      <c r="U37" s="642"/>
      <c r="V37" s="641"/>
      <c r="W37" s="662"/>
    </row>
    <row r="38" spans="1:23" s="635" customFormat="1" ht="36" customHeight="1">
      <c r="A38" s="630" t="s">
        <v>728</v>
      </c>
      <c r="B38" s="631" t="s">
        <v>678</v>
      </c>
      <c r="C38" s="633">
        <f t="shared" si="13"/>
        <v>14058.3588</v>
      </c>
      <c r="D38" s="103"/>
      <c r="E38" s="632" t="e">
        <f>'Bieu 03- Phương'!#REF!-D38</f>
        <v>#REF!</v>
      </c>
      <c r="F38" s="633">
        <f t="shared" si="11"/>
        <v>14800</v>
      </c>
      <c r="G38" s="633">
        <v>7400</v>
      </c>
      <c r="H38" s="633">
        <v>7400</v>
      </c>
      <c r="I38" s="633"/>
      <c r="J38" s="633"/>
      <c r="K38" s="633"/>
      <c r="L38" s="633"/>
      <c r="M38" s="633"/>
      <c r="N38" s="633"/>
      <c r="O38" s="633"/>
      <c r="P38" s="633"/>
      <c r="Q38" s="633"/>
      <c r="R38" s="103"/>
      <c r="S38" s="633">
        <f>(1004016-959379)*21.036/1000</f>
        <v>938.983932</v>
      </c>
      <c r="T38" s="633">
        <f>(8080027-7456364)*21.036/1000</f>
        <v>13119.374868</v>
      </c>
      <c r="U38" s="642"/>
      <c r="V38" s="641"/>
      <c r="W38" s="662"/>
    </row>
    <row r="39" spans="1:24" s="751" customFormat="1" ht="36" customHeight="1">
      <c r="A39" s="758" t="s">
        <v>720</v>
      </c>
      <c r="B39" s="745" t="e">
        <f>'Bieu 03- Phương'!#REF!</f>
        <v>#REF!</v>
      </c>
      <c r="C39" s="77">
        <f t="shared" si="13"/>
        <v>98300</v>
      </c>
      <c r="D39" s="747"/>
      <c r="E39" s="602" t="e">
        <f>'Bieu 03- Phương'!#REF!-D39</f>
        <v>#REF!</v>
      </c>
      <c r="F39" s="746"/>
      <c r="G39" s="746"/>
      <c r="H39" s="746"/>
      <c r="I39" s="746"/>
      <c r="J39" s="746"/>
      <c r="K39" s="746"/>
      <c r="L39" s="746"/>
      <c r="M39" s="746"/>
      <c r="N39" s="746"/>
      <c r="O39" s="746"/>
      <c r="P39" s="746"/>
      <c r="Q39" s="746"/>
      <c r="R39" s="747"/>
      <c r="S39" s="746">
        <v>58000</v>
      </c>
      <c r="T39" s="746"/>
      <c r="U39" s="750">
        <v>40300</v>
      </c>
      <c r="V39" s="750"/>
      <c r="W39" s="759"/>
      <c r="X39" s="759"/>
    </row>
    <row r="40" spans="1:22" s="605" customFormat="1" ht="45" customHeight="1">
      <c r="A40" s="62" t="s">
        <v>729</v>
      </c>
      <c r="B40" s="30" t="s">
        <v>664</v>
      </c>
      <c r="C40" s="77">
        <f t="shared" si="13"/>
        <v>1500</v>
      </c>
      <c r="D40" s="68"/>
      <c r="E40" s="602">
        <f>'Bieu 03- Phương'!D63</f>
        <v>1500</v>
      </c>
      <c r="F40" s="77">
        <f t="shared" si="11"/>
        <v>1500</v>
      </c>
      <c r="G40" s="77">
        <v>1500</v>
      </c>
      <c r="H40" s="77"/>
      <c r="I40" s="77"/>
      <c r="J40" s="77"/>
      <c r="K40" s="77"/>
      <c r="L40" s="602">
        <f>SUM(M40:Q40)</f>
        <v>0</v>
      </c>
      <c r="M40" s="77"/>
      <c r="N40" s="77"/>
      <c r="O40" s="77"/>
      <c r="P40" s="77"/>
      <c r="Q40" s="77"/>
      <c r="R40" s="73"/>
      <c r="S40" s="627">
        <f>E40</f>
        <v>1500</v>
      </c>
      <c r="T40" s="639"/>
      <c r="U40" s="639"/>
      <c r="V40" s="639"/>
    </row>
    <row r="41" spans="1:33" s="613" customFormat="1" ht="50.25" customHeight="1">
      <c r="A41" s="62" t="s">
        <v>730</v>
      </c>
      <c r="B41" s="30" t="s">
        <v>684</v>
      </c>
      <c r="C41" s="77" t="e">
        <f t="shared" si="13"/>
        <v>#REF!</v>
      </c>
      <c r="D41" s="68"/>
      <c r="E41" s="602" t="e">
        <f>'Bieu 03- Phương'!#REF!</f>
        <v>#REF!</v>
      </c>
      <c r="F41" s="77">
        <f t="shared" si="11"/>
        <v>20000</v>
      </c>
      <c r="G41" s="77"/>
      <c r="H41" s="77"/>
      <c r="I41" s="77"/>
      <c r="J41" s="77">
        <v>10000</v>
      </c>
      <c r="K41" s="77">
        <v>10000</v>
      </c>
      <c r="L41" s="602">
        <f>SUM(M41:Q41)</f>
        <v>0</v>
      </c>
      <c r="M41" s="77"/>
      <c r="N41" s="77"/>
      <c r="O41" s="77"/>
      <c r="P41" s="77"/>
      <c r="Q41" s="77"/>
      <c r="R41" s="73"/>
      <c r="S41" s="627" t="e">
        <f>E41</f>
        <v>#REF!</v>
      </c>
      <c r="T41" s="639"/>
      <c r="U41" s="639"/>
      <c r="V41" s="639"/>
      <c r="W41" s="611"/>
      <c r="X41" s="611"/>
      <c r="Y41" s="611"/>
      <c r="Z41" s="611"/>
      <c r="AA41" s="611"/>
      <c r="AB41" s="611"/>
      <c r="AC41" s="611"/>
      <c r="AD41" s="611"/>
      <c r="AE41" s="611"/>
      <c r="AF41" s="611"/>
      <c r="AG41" s="611"/>
    </row>
    <row r="42" spans="1:22" s="605" customFormat="1" ht="29.25" customHeight="1">
      <c r="A42" s="62" t="s">
        <v>732</v>
      </c>
      <c r="B42" s="30" t="s">
        <v>666</v>
      </c>
      <c r="C42" s="77" t="e">
        <f t="shared" si="13"/>
        <v>#REF!</v>
      </c>
      <c r="D42" s="68"/>
      <c r="E42" s="602" t="e">
        <f>'Bieu 03- Phương'!#REF!</f>
        <v>#REF!</v>
      </c>
      <c r="F42" s="77">
        <f t="shared" si="11"/>
        <v>400</v>
      </c>
      <c r="G42" s="77"/>
      <c r="H42" s="77">
        <v>100</v>
      </c>
      <c r="I42" s="77">
        <v>100</v>
      </c>
      <c r="J42" s="77">
        <v>100</v>
      </c>
      <c r="K42" s="77">
        <v>100</v>
      </c>
      <c r="L42" s="602">
        <f>SUM(M42:Q42)</f>
        <v>1000</v>
      </c>
      <c r="M42" s="77">
        <v>200</v>
      </c>
      <c r="N42" s="77">
        <v>200</v>
      </c>
      <c r="O42" s="77">
        <v>200</v>
      </c>
      <c r="P42" s="77">
        <v>200</v>
      </c>
      <c r="Q42" s="77">
        <v>200</v>
      </c>
      <c r="R42" s="73"/>
      <c r="S42" s="627" t="e">
        <f>E42</f>
        <v>#REF!</v>
      </c>
      <c r="T42" s="639"/>
      <c r="U42" s="639"/>
      <c r="V42" s="639"/>
    </row>
    <row r="43" spans="1:22" s="615" customFormat="1" ht="21" customHeight="1">
      <c r="A43" s="612"/>
      <c r="B43" s="143"/>
      <c r="C43" s="143"/>
      <c r="D43" s="143"/>
      <c r="E43" s="609"/>
      <c r="F43" s="609"/>
      <c r="G43" s="609"/>
      <c r="H43" s="609"/>
      <c r="I43" s="609"/>
      <c r="J43" s="609"/>
      <c r="K43" s="609"/>
      <c r="L43" s="610">
        <f>SUM(M43:Q43)</f>
        <v>0</v>
      </c>
      <c r="M43" s="609"/>
      <c r="N43" s="609"/>
      <c r="O43" s="609"/>
      <c r="P43" s="609"/>
      <c r="Q43" s="609"/>
      <c r="R43" s="614"/>
      <c r="S43" s="614"/>
      <c r="T43" s="614"/>
      <c r="U43" s="614"/>
      <c r="V43" s="614"/>
    </row>
    <row r="44" spans="1:4" s="586" customFormat="1" ht="15">
      <c r="A44" s="585"/>
      <c r="B44" s="587"/>
      <c r="C44" s="587"/>
      <c r="D44" s="587"/>
    </row>
    <row r="45" spans="1:4" s="618" customFormat="1" ht="15">
      <c r="A45" s="616"/>
      <c r="B45" s="617"/>
      <c r="C45" s="617"/>
      <c r="D45" s="617"/>
    </row>
    <row r="46" spans="1:4" s="618" customFormat="1" ht="15">
      <c r="A46" s="616"/>
      <c r="B46" s="619"/>
      <c r="C46" s="619"/>
      <c r="D46" s="619"/>
    </row>
    <row r="47" spans="1:4" s="622" customFormat="1" ht="18.75">
      <c r="A47" s="620"/>
      <c r="B47" s="621"/>
      <c r="C47" s="621"/>
      <c r="D47" s="621"/>
    </row>
    <row r="48" spans="2:4" ht="18.75">
      <c r="B48" s="589"/>
      <c r="C48" s="589"/>
      <c r="D48" s="589"/>
    </row>
    <row r="49" spans="2:4" ht="18.75">
      <c r="B49" s="589"/>
      <c r="C49" s="589"/>
      <c r="D49" s="589"/>
    </row>
    <row r="50" spans="2:4" ht="18.75">
      <c r="B50" s="589"/>
      <c r="C50" s="589"/>
      <c r="D50" s="589"/>
    </row>
    <row r="51" spans="2:4" ht="18.75">
      <c r="B51" s="592"/>
      <c r="C51" s="592"/>
      <c r="D51" s="592"/>
    </row>
    <row r="52" spans="2:4" ht="18.75">
      <c r="B52" s="589"/>
      <c r="C52" s="589"/>
      <c r="D52" s="589"/>
    </row>
    <row r="53" spans="2:4" ht="18.75">
      <c r="B53" s="589"/>
      <c r="C53" s="589"/>
      <c r="D53" s="589"/>
    </row>
    <row r="54" spans="2:4" ht="18.75">
      <c r="B54" s="590"/>
      <c r="C54" s="590"/>
      <c r="D54" s="590"/>
    </row>
    <row r="55" spans="2:4" ht="18.75">
      <c r="B55" s="589"/>
      <c r="C55" s="589"/>
      <c r="D55" s="589"/>
    </row>
    <row r="56" spans="2:4" ht="18.75">
      <c r="B56" s="589"/>
      <c r="C56" s="589"/>
      <c r="D56" s="589"/>
    </row>
    <row r="57" spans="2:4" ht="18.75">
      <c r="B57" s="589"/>
      <c r="C57" s="589"/>
      <c r="D57" s="589"/>
    </row>
    <row r="58" spans="2:4" ht="18.75">
      <c r="B58" s="590"/>
      <c r="C58" s="590"/>
      <c r="D58" s="590"/>
    </row>
    <row r="59" spans="2:4" ht="18.75">
      <c r="B59" s="589"/>
      <c r="C59" s="589"/>
      <c r="D59" s="589"/>
    </row>
    <row r="60" spans="2:4" ht="18.75">
      <c r="B60" s="589"/>
      <c r="C60" s="589"/>
      <c r="D60" s="589"/>
    </row>
    <row r="61" spans="2:4" ht="18.75">
      <c r="B61" s="590"/>
      <c r="C61" s="590"/>
      <c r="D61" s="590"/>
    </row>
    <row r="62" spans="2:4" ht="18.75">
      <c r="B62" s="589"/>
      <c r="C62" s="589"/>
      <c r="D62" s="589"/>
    </row>
    <row r="63" spans="2:4" ht="18.75">
      <c r="B63" s="590"/>
      <c r="C63" s="590"/>
      <c r="D63" s="590"/>
    </row>
    <row r="64" spans="2:4" ht="18.75">
      <c r="B64" s="589"/>
      <c r="C64" s="589"/>
      <c r="D64" s="589"/>
    </row>
    <row r="65" ht="18.75">
      <c r="E65" s="590"/>
    </row>
    <row r="66" ht="18.75">
      <c r="F66" s="590"/>
    </row>
    <row r="67" spans="2:4" ht="18.75">
      <c r="B67" s="589"/>
      <c r="C67" s="589"/>
      <c r="D67" s="589"/>
    </row>
    <row r="68" spans="2:4" ht="18.75">
      <c r="B68" s="589"/>
      <c r="C68" s="589"/>
      <c r="D68" s="589"/>
    </row>
    <row r="69" spans="2:4" ht="18.75">
      <c r="B69" s="589"/>
      <c r="C69" s="589"/>
      <c r="D69" s="589"/>
    </row>
  </sheetData>
  <sheetProtection/>
  <mergeCells count="13">
    <mergeCell ref="A5:A6"/>
    <mergeCell ref="B5:B6"/>
    <mergeCell ref="C5:C6"/>
    <mergeCell ref="A2:V2"/>
    <mergeCell ref="D5:D6"/>
    <mergeCell ref="E5:E6"/>
    <mergeCell ref="F5:K5"/>
    <mergeCell ref="L5:Q5"/>
    <mergeCell ref="R5:U5"/>
    <mergeCell ref="V5:V6"/>
    <mergeCell ref="A3:V3"/>
    <mergeCell ref="J4:Q4"/>
    <mergeCell ref="T4:V4"/>
  </mergeCells>
  <printOptions/>
  <pageMargins left="0.7086614173228347" right="0.7086614173228347" top="0.52" bottom="0.48" header="0.31496062992125984" footer="0.3149606299212598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4">
      <selection activeCell="F19" sqref="F19"/>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X69"/>
  <sheetViews>
    <sheetView zoomScalePageLayoutView="0" workbookViewId="0" topLeftCell="A4">
      <selection activeCell="E8" sqref="E8"/>
    </sheetView>
  </sheetViews>
  <sheetFormatPr defaultColWidth="9.140625" defaultRowHeight="12.75"/>
  <cols>
    <col min="1" max="1" width="4.7109375" style="665" customWidth="1"/>
    <col min="2" max="2" width="21.00390625" style="666" customWidth="1"/>
    <col min="3" max="3" width="9.421875" style="666" customWidth="1"/>
    <col min="4" max="4" width="9.7109375" style="666" customWidth="1"/>
    <col min="5" max="5" width="8.57421875" style="666" customWidth="1"/>
    <col min="6" max="6" width="7.00390625" style="666" customWidth="1"/>
    <col min="7" max="7" width="8.00390625" style="666" customWidth="1"/>
    <col min="8" max="8" width="7.57421875" style="666" customWidth="1"/>
    <col min="9" max="9" width="8.140625" style="666" customWidth="1"/>
    <col min="10" max="10" width="7.8515625" style="666" customWidth="1"/>
    <col min="11" max="11" width="8.57421875" style="666" customWidth="1"/>
    <col min="12" max="12" width="7.421875" style="666" customWidth="1"/>
    <col min="13" max="13" width="6.8515625" style="666" customWidth="1"/>
    <col min="14" max="14" width="7.28125" style="666" customWidth="1"/>
    <col min="15" max="15" width="6.8515625" style="666" customWidth="1"/>
    <col min="16" max="16" width="7.421875" style="666" customWidth="1"/>
    <col min="17" max="17" width="8.57421875" style="666" customWidth="1"/>
    <col min="18" max="18" width="9.8515625" style="666" customWidth="1"/>
    <col min="19" max="16384" width="9.140625" style="666" customWidth="1"/>
  </cols>
  <sheetData>
    <row r="1" spans="7:10" ht="15.75">
      <c r="G1" s="882" t="s">
        <v>660</v>
      </c>
      <c r="H1" s="882"/>
      <c r="I1" s="882"/>
      <c r="J1" s="882"/>
    </row>
    <row r="2" spans="1:18" s="667" customFormat="1" ht="22.5" customHeight="1">
      <c r="A2" s="883" t="s">
        <v>735</v>
      </c>
      <c r="B2" s="883"/>
      <c r="C2" s="883"/>
      <c r="D2" s="883"/>
      <c r="E2" s="883"/>
      <c r="F2" s="883"/>
      <c r="G2" s="883"/>
      <c r="H2" s="883"/>
      <c r="I2" s="883"/>
      <c r="J2" s="883"/>
      <c r="K2" s="883"/>
      <c r="L2" s="883"/>
      <c r="M2" s="883"/>
      <c r="N2" s="883"/>
      <c r="O2" s="883"/>
      <c r="P2" s="883"/>
      <c r="Q2" s="883"/>
      <c r="R2" s="883"/>
    </row>
    <row r="3" spans="1:24" s="669" customFormat="1" ht="23.25" customHeight="1">
      <c r="A3" s="884" t="s">
        <v>737</v>
      </c>
      <c r="B3" s="885"/>
      <c r="C3" s="885"/>
      <c r="D3" s="885"/>
      <c r="E3" s="885"/>
      <c r="F3" s="885"/>
      <c r="G3" s="885"/>
      <c r="H3" s="885"/>
      <c r="I3" s="885"/>
      <c r="J3" s="885"/>
      <c r="K3" s="885"/>
      <c r="L3" s="885"/>
      <c r="M3" s="885"/>
      <c r="N3" s="885"/>
      <c r="O3" s="885"/>
      <c r="P3" s="885"/>
      <c r="Q3" s="885"/>
      <c r="R3" s="885"/>
      <c r="S3" s="668"/>
      <c r="T3" s="668"/>
      <c r="U3" s="668"/>
      <c r="V3" s="668"/>
      <c r="W3" s="668"/>
      <c r="X3" s="668"/>
    </row>
    <row r="4" spans="1:24" s="669" customFormat="1" ht="18" customHeight="1">
      <c r="A4" s="670"/>
      <c r="B4" s="671"/>
      <c r="C4" s="670"/>
      <c r="D4" s="670"/>
      <c r="E4" s="670"/>
      <c r="F4" s="670"/>
      <c r="G4" s="670"/>
      <c r="H4" s="670"/>
      <c r="I4" s="670"/>
      <c r="J4" s="670"/>
      <c r="K4" s="670"/>
      <c r="L4" s="670"/>
      <c r="M4" s="670"/>
      <c r="N4" s="670"/>
      <c r="O4" s="670"/>
      <c r="P4" s="670"/>
      <c r="Q4" s="670" t="s">
        <v>710</v>
      </c>
      <c r="R4" s="670"/>
      <c r="S4" s="668"/>
      <c r="T4" s="668"/>
      <c r="U4" s="668"/>
      <c r="V4" s="668"/>
      <c r="W4" s="668"/>
      <c r="X4" s="668"/>
    </row>
    <row r="5" spans="1:18" s="672" customFormat="1" ht="30" customHeight="1">
      <c r="A5" s="875" t="s">
        <v>643</v>
      </c>
      <c r="B5" s="875" t="s">
        <v>644</v>
      </c>
      <c r="C5" s="875" t="s">
        <v>645</v>
      </c>
      <c r="D5" s="875" t="s">
        <v>646</v>
      </c>
      <c r="E5" s="877" t="s">
        <v>647</v>
      </c>
      <c r="F5" s="878"/>
      <c r="G5" s="878"/>
      <c r="H5" s="878"/>
      <c r="I5" s="878"/>
      <c r="J5" s="878"/>
      <c r="K5" s="877" t="s">
        <v>697</v>
      </c>
      <c r="L5" s="878"/>
      <c r="M5" s="878"/>
      <c r="N5" s="878"/>
      <c r="O5" s="878"/>
      <c r="P5" s="878"/>
      <c r="Q5" s="875" t="s">
        <v>712</v>
      </c>
      <c r="R5" s="880" t="s">
        <v>369</v>
      </c>
    </row>
    <row r="6" spans="1:18" s="672" customFormat="1" ht="51" customHeight="1">
      <c r="A6" s="879"/>
      <c r="B6" s="879"/>
      <c r="C6" s="879"/>
      <c r="D6" s="876"/>
      <c r="E6" s="737" t="s">
        <v>663</v>
      </c>
      <c r="F6" s="737">
        <v>2016</v>
      </c>
      <c r="G6" s="737">
        <v>2017</v>
      </c>
      <c r="H6" s="737">
        <v>2018</v>
      </c>
      <c r="I6" s="737">
        <v>2019</v>
      </c>
      <c r="J6" s="737">
        <v>2020</v>
      </c>
      <c r="K6" s="737" t="s">
        <v>662</v>
      </c>
      <c r="L6" s="737">
        <v>2021</v>
      </c>
      <c r="M6" s="737">
        <v>2022</v>
      </c>
      <c r="N6" s="737">
        <v>2023</v>
      </c>
      <c r="O6" s="737">
        <v>2024</v>
      </c>
      <c r="P6" s="737">
        <v>2025</v>
      </c>
      <c r="Q6" s="879"/>
      <c r="R6" s="881"/>
    </row>
    <row r="7" spans="1:18" s="675" customFormat="1" ht="24.75" customHeight="1">
      <c r="A7" s="735"/>
      <c r="B7" s="735" t="s">
        <v>378</v>
      </c>
      <c r="C7" s="735"/>
      <c r="D7" s="736">
        <f>E7+K7+Q7</f>
        <v>2811094</v>
      </c>
      <c r="E7" s="736">
        <f aca="true" t="shared" si="0" ref="E7:P7">E8+E23</f>
        <v>731594</v>
      </c>
      <c r="F7" s="736">
        <f t="shared" si="0"/>
        <v>36638</v>
      </c>
      <c r="G7" s="736">
        <f t="shared" si="0"/>
        <v>201785</v>
      </c>
      <c r="H7" s="736">
        <f t="shared" si="0"/>
        <v>167605</v>
      </c>
      <c r="I7" s="736">
        <f t="shared" si="0"/>
        <v>217361</v>
      </c>
      <c r="J7" s="736">
        <f t="shared" si="0"/>
        <v>98205</v>
      </c>
      <c r="K7" s="736">
        <f t="shared" si="0"/>
        <v>1047500</v>
      </c>
      <c r="L7" s="736">
        <f t="shared" si="0"/>
        <v>145700</v>
      </c>
      <c r="M7" s="736">
        <f t="shared" si="0"/>
        <v>255700</v>
      </c>
      <c r="N7" s="736">
        <f t="shared" si="0"/>
        <v>260700</v>
      </c>
      <c r="O7" s="736">
        <f t="shared" si="0"/>
        <v>254700</v>
      </c>
      <c r="P7" s="736">
        <f t="shared" si="0"/>
        <v>130700</v>
      </c>
      <c r="Q7" s="736">
        <f>Q8+Q23</f>
        <v>1032000</v>
      </c>
      <c r="R7" s="736"/>
    </row>
    <row r="8" spans="1:18" s="675" customFormat="1" ht="26.25" customHeight="1">
      <c r="A8" s="673" t="s">
        <v>19</v>
      </c>
      <c r="B8" s="676" t="s">
        <v>738</v>
      </c>
      <c r="C8" s="673"/>
      <c r="D8" s="674">
        <f>E8+K8+Q8</f>
        <v>1382582</v>
      </c>
      <c r="E8" s="674">
        <f aca="true" t="shared" si="1" ref="E8:P8">E9+E12</f>
        <v>207582</v>
      </c>
      <c r="F8" s="674">
        <f t="shared" si="1"/>
        <v>26000</v>
      </c>
      <c r="G8" s="674">
        <f t="shared" si="1"/>
        <v>118432</v>
      </c>
      <c r="H8" s="674">
        <f t="shared" si="1"/>
        <v>21050</v>
      </c>
      <c r="I8" s="674">
        <f t="shared" si="1"/>
        <v>21050</v>
      </c>
      <c r="J8" s="674">
        <f t="shared" si="1"/>
        <v>21050</v>
      </c>
      <c r="K8" s="674">
        <f>K9+K12</f>
        <v>670000</v>
      </c>
      <c r="L8" s="674">
        <f>L9+L12</f>
        <v>82000</v>
      </c>
      <c r="M8" s="674">
        <f t="shared" si="1"/>
        <v>162000</v>
      </c>
      <c r="N8" s="674">
        <f t="shared" si="1"/>
        <v>172000</v>
      </c>
      <c r="O8" s="674">
        <f t="shared" si="1"/>
        <v>162000</v>
      </c>
      <c r="P8" s="674">
        <f t="shared" si="1"/>
        <v>92000</v>
      </c>
      <c r="Q8" s="674">
        <f>Q9+Q12</f>
        <v>505000</v>
      </c>
      <c r="R8" s="674"/>
    </row>
    <row r="9" spans="1:18" s="678" customFormat="1" ht="24.75" customHeight="1">
      <c r="A9" s="673">
        <v>1</v>
      </c>
      <c r="B9" s="676" t="s">
        <v>258</v>
      </c>
      <c r="C9" s="673"/>
      <c r="D9" s="674">
        <f>E9+K9+Q9</f>
        <v>123382</v>
      </c>
      <c r="E9" s="674">
        <f>SUM(E10:E11)</f>
        <v>123382</v>
      </c>
      <c r="F9" s="674">
        <f aca="true" t="shared" si="2" ref="F9:P9">SUM(F10:F11)</f>
        <v>26000</v>
      </c>
      <c r="G9" s="674">
        <f t="shared" si="2"/>
        <v>97382</v>
      </c>
      <c r="H9" s="674">
        <f t="shared" si="2"/>
        <v>0</v>
      </c>
      <c r="I9" s="674">
        <f t="shared" si="2"/>
        <v>0</v>
      </c>
      <c r="J9" s="674">
        <f t="shared" si="2"/>
        <v>0</v>
      </c>
      <c r="K9" s="677">
        <f t="shared" si="2"/>
        <v>0</v>
      </c>
      <c r="L9" s="677">
        <f t="shared" si="2"/>
        <v>0</v>
      </c>
      <c r="M9" s="677">
        <f t="shared" si="2"/>
        <v>0</v>
      </c>
      <c r="N9" s="677">
        <f t="shared" si="2"/>
        <v>0</v>
      </c>
      <c r="O9" s="677">
        <f t="shared" si="2"/>
        <v>0</v>
      </c>
      <c r="P9" s="677">
        <f t="shared" si="2"/>
        <v>0</v>
      </c>
      <c r="Q9" s="677">
        <f>SUM(Q10:Q11)</f>
        <v>0</v>
      </c>
      <c r="R9" s="674"/>
    </row>
    <row r="10" spans="1:18" s="684" customFormat="1" ht="44.25" customHeight="1">
      <c r="A10" s="679"/>
      <c r="B10" s="680" t="s">
        <v>708</v>
      </c>
      <c r="C10" s="681"/>
      <c r="D10" s="682">
        <f>E10+K10+Q10</f>
        <v>24779</v>
      </c>
      <c r="E10" s="682">
        <f aca="true" t="shared" si="3" ref="E10:E20">SUM(F10:J10)</f>
        <v>24779</v>
      </c>
      <c r="F10" s="682"/>
      <c r="G10" s="682">
        <f>'[6]Bieu 04'!E11</f>
        <v>24779</v>
      </c>
      <c r="H10" s="683"/>
      <c r="I10" s="683"/>
      <c r="J10" s="683"/>
      <c r="K10" s="683">
        <f>SUM(L10:P10)</f>
        <v>0</v>
      </c>
      <c r="L10" s="683"/>
      <c r="M10" s="683"/>
      <c r="N10" s="683"/>
      <c r="O10" s="683"/>
      <c r="P10" s="683"/>
      <c r="Q10" s="683"/>
      <c r="R10" s="681"/>
    </row>
    <row r="11" spans="1:18" s="684" customFormat="1" ht="47.25" customHeight="1">
      <c r="A11" s="679"/>
      <c r="B11" s="680" t="s">
        <v>650</v>
      </c>
      <c r="C11" s="681" t="s">
        <v>724</v>
      </c>
      <c r="D11" s="682">
        <f aca="true" t="shared" si="4" ref="D11:D42">E11+K11+Q11</f>
        <v>98603</v>
      </c>
      <c r="E11" s="682">
        <f t="shared" si="3"/>
        <v>98603</v>
      </c>
      <c r="F11" s="682">
        <v>26000</v>
      </c>
      <c r="G11" s="682">
        <v>72603</v>
      </c>
      <c r="H11" s="682"/>
      <c r="I11" s="682"/>
      <c r="J11" s="682"/>
      <c r="K11" s="683">
        <f>SUM(L11:P11)</f>
        <v>0</v>
      </c>
      <c r="L11" s="683"/>
      <c r="M11" s="683"/>
      <c r="N11" s="683"/>
      <c r="O11" s="683"/>
      <c r="P11" s="683"/>
      <c r="Q11" s="683"/>
      <c r="R11" s="681"/>
    </row>
    <row r="12" spans="1:18" s="689" customFormat="1" ht="26.25" customHeight="1">
      <c r="A12" s="685" t="s">
        <v>133</v>
      </c>
      <c r="B12" s="686" t="s">
        <v>651</v>
      </c>
      <c r="C12" s="687"/>
      <c r="D12" s="674">
        <f t="shared" si="4"/>
        <v>1259200</v>
      </c>
      <c r="E12" s="688">
        <f>SUM(E13:E22)</f>
        <v>84200</v>
      </c>
      <c r="F12" s="688">
        <f aca="true" t="shared" si="5" ref="F12:P12">SUM(F13:F22)</f>
        <v>0</v>
      </c>
      <c r="G12" s="688">
        <f t="shared" si="5"/>
        <v>21050</v>
      </c>
      <c r="H12" s="688">
        <f t="shared" si="5"/>
        <v>21050</v>
      </c>
      <c r="I12" s="688">
        <f t="shared" si="5"/>
        <v>21050</v>
      </c>
      <c r="J12" s="688">
        <f t="shared" si="5"/>
        <v>21050</v>
      </c>
      <c r="K12" s="688">
        <f>SUM(K13:K22)</f>
        <v>670000</v>
      </c>
      <c r="L12" s="688">
        <f>SUM(L13:L22)</f>
        <v>82000</v>
      </c>
      <c r="M12" s="688">
        <f t="shared" si="5"/>
        <v>162000</v>
      </c>
      <c r="N12" s="688">
        <f t="shared" si="5"/>
        <v>172000</v>
      </c>
      <c r="O12" s="688">
        <f t="shared" si="5"/>
        <v>162000</v>
      </c>
      <c r="P12" s="688">
        <f t="shared" si="5"/>
        <v>92000</v>
      </c>
      <c r="Q12" s="688">
        <f>SUM(Q13:Q22)</f>
        <v>505000</v>
      </c>
      <c r="R12" s="688"/>
    </row>
    <row r="13" spans="1:18" s="696" customFormat="1" ht="55.5" customHeight="1">
      <c r="A13" s="690" t="s">
        <v>129</v>
      </c>
      <c r="B13" s="691" t="s">
        <v>652</v>
      </c>
      <c r="C13" s="692"/>
      <c r="D13" s="693">
        <f t="shared" si="4"/>
        <v>210000</v>
      </c>
      <c r="E13" s="694">
        <f t="shared" si="3"/>
        <v>0</v>
      </c>
      <c r="F13" s="695"/>
      <c r="G13" s="695"/>
      <c r="H13" s="695"/>
      <c r="I13" s="695"/>
      <c r="J13" s="695"/>
      <c r="K13" s="693">
        <f aca="true" t="shared" si="6" ref="K13:K22">SUM(L13:P13)</f>
        <v>210000</v>
      </c>
      <c r="L13" s="695">
        <v>20000</v>
      </c>
      <c r="M13" s="695">
        <v>60000</v>
      </c>
      <c r="N13" s="695">
        <v>70000</v>
      </c>
      <c r="O13" s="695">
        <v>60000</v>
      </c>
      <c r="P13" s="695"/>
      <c r="Q13" s="695"/>
      <c r="R13" s="692"/>
    </row>
    <row r="14" spans="1:18" s="696" customFormat="1" ht="42" customHeight="1">
      <c r="A14" s="690" t="s">
        <v>130</v>
      </c>
      <c r="B14" s="691" t="s">
        <v>707</v>
      </c>
      <c r="C14" s="692"/>
      <c r="D14" s="693">
        <f t="shared" si="4"/>
        <v>50000</v>
      </c>
      <c r="E14" s="694">
        <f>SUM(F14:J14)</f>
        <v>0</v>
      </c>
      <c r="F14" s="695"/>
      <c r="G14" s="695"/>
      <c r="H14" s="695"/>
      <c r="I14" s="695"/>
      <c r="J14" s="695"/>
      <c r="K14" s="694">
        <f t="shared" si="6"/>
        <v>0</v>
      </c>
      <c r="L14" s="697"/>
      <c r="M14" s="695"/>
      <c r="N14" s="695"/>
      <c r="O14" s="695"/>
      <c r="P14" s="695"/>
      <c r="Q14" s="695">
        <v>50000</v>
      </c>
      <c r="R14" s="692"/>
    </row>
    <row r="15" spans="1:18" s="696" customFormat="1" ht="44.25" customHeight="1">
      <c r="A15" s="690" t="s">
        <v>131</v>
      </c>
      <c r="B15" s="691" t="s">
        <v>686</v>
      </c>
      <c r="C15" s="692"/>
      <c r="D15" s="693">
        <f t="shared" si="4"/>
        <v>50000</v>
      </c>
      <c r="E15" s="694">
        <f t="shared" si="3"/>
        <v>0</v>
      </c>
      <c r="F15" s="695"/>
      <c r="G15" s="695"/>
      <c r="H15" s="695"/>
      <c r="I15" s="695"/>
      <c r="J15" s="695"/>
      <c r="K15" s="694">
        <f t="shared" si="6"/>
        <v>0</v>
      </c>
      <c r="L15" s="697"/>
      <c r="M15" s="695"/>
      <c r="N15" s="695"/>
      <c r="O15" s="695"/>
      <c r="P15" s="695"/>
      <c r="Q15" s="695">
        <v>50000</v>
      </c>
      <c r="R15" s="692"/>
    </row>
    <row r="16" spans="1:18" s="696" customFormat="1" ht="70.5" customHeight="1">
      <c r="A16" s="690" t="s">
        <v>132</v>
      </c>
      <c r="B16" s="691" t="s">
        <v>668</v>
      </c>
      <c r="C16" s="692"/>
      <c r="D16" s="693">
        <f t="shared" si="4"/>
        <v>200000</v>
      </c>
      <c r="E16" s="697">
        <f t="shared" si="3"/>
        <v>0</v>
      </c>
      <c r="F16" s="695"/>
      <c r="G16" s="695"/>
      <c r="H16" s="695"/>
      <c r="I16" s="695"/>
      <c r="J16" s="695"/>
      <c r="K16" s="694">
        <f t="shared" si="6"/>
        <v>0</v>
      </c>
      <c r="L16" s="697"/>
      <c r="M16" s="695"/>
      <c r="N16" s="695"/>
      <c r="O16" s="695"/>
      <c r="P16" s="695"/>
      <c r="Q16" s="695">
        <v>200000</v>
      </c>
      <c r="R16" s="692" t="s">
        <v>693</v>
      </c>
    </row>
    <row r="17" spans="1:18" s="696" customFormat="1" ht="67.5" customHeight="1">
      <c r="A17" s="690" t="s">
        <v>679</v>
      </c>
      <c r="B17" s="691" t="s">
        <v>653</v>
      </c>
      <c r="C17" s="692"/>
      <c r="D17" s="693">
        <f t="shared" si="4"/>
        <v>200000</v>
      </c>
      <c r="E17" s="697">
        <f t="shared" si="3"/>
        <v>0</v>
      </c>
      <c r="F17" s="695"/>
      <c r="G17" s="695"/>
      <c r="H17" s="695"/>
      <c r="I17" s="695"/>
      <c r="J17" s="695"/>
      <c r="K17" s="693">
        <f t="shared" si="6"/>
        <v>200000</v>
      </c>
      <c r="L17" s="695">
        <v>10000</v>
      </c>
      <c r="M17" s="695">
        <v>50000</v>
      </c>
      <c r="N17" s="695">
        <v>50000</v>
      </c>
      <c r="O17" s="695">
        <v>50000</v>
      </c>
      <c r="P17" s="695">
        <v>40000</v>
      </c>
      <c r="Q17" s="695"/>
      <c r="R17" s="692" t="s">
        <v>692</v>
      </c>
    </row>
    <row r="18" spans="1:18" s="696" customFormat="1" ht="67.5" customHeight="1">
      <c r="A18" s="690" t="s">
        <v>680</v>
      </c>
      <c r="B18" s="691" t="s">
        <v>723</v>
      </c>
      <c r="C18" s="692" t="s">
        <v>713</v>
      </c>
      <c r="D18" s="693">
        <f t="shared" si="4"/>
        <v>350000</v>
      </c>
      <c r="E18" s="697">
        <f>SUM(F18:J18)</f>
        <v>0</v>
      </c>
      <c r="F18" s="695"/>
      <c r="G18" s="695"/>
      <c r="H18" s="695"/>
      <c r="I18" s="695"/>
      <c r="J18" s="695"/>
      <c r="K18" s="693">
        <f t="shared" si="6"/>
        <v>150000</v>
      </c>
      <c r="L18" s="695">
        <v>30000</v>
      </c>
      <c r="M18" s="695">
        <v>30000</v>
      </c>
      <c r="N18" s="695">
        <v>30000</v>
      </c>
      <c r="O18" s="695">
        <v>30000</v>
      </c>
      <c r="P18" s="695">
        <v>30000</v>
      </c>
      <c r="Q18" s="695">
        <v>200000</v>
      </c>
      <c r="R18" s="692" t="s">
        <v>714</v>
      </c>
    </row>
    <row r="19" spans="1:18" s="696" customFormat="1" ht="42.75" customHeight="1">
      <c r="A19" s="690" t="s">
        <v>681</v>
      </c>
      <c r="B19" s="691" t="s">
        <v>671</v>
      </c>
      <c r="C19" s="692" t="s">
        <v>670</v>
      </c>
      <c r="D19" s="693">
        <f t="shared" si="4"/>
        <v>45000</v>
      </c>
      <c r="E19" s="693">
        <f t="shared" si="3"/>
        <v>20000</v>
      </c>
      <c r="F19" s="695"/>
      <c r="G19" s="695">
        <v>5000</v>
      </c>
      <c r="H19" s="695">
        <v>5000</v>
      </c>
      <c r="I19" s="695">
        <v>5000</v>
      </c>
      <c r="J19" s="695">
        <v>5000</v>
      </c>
      <c r="K19" s="693">
        <f t="shared" si="6"/>
        <v>25000</v>
      </c>
      <c r="L19" s="695">
        <v>5000</v>
      </c>
      <c r="M19" s="695">
        <v>5000</v>
      </c>
      <c r="N19" s="695">
        <v>5000</v>
      </c>
      <c r="O19" s="695">
        <v>5000</v>
      </c>
      <c r="P19" s="695">
        <v>5000</v>
      </c>
      <c r="Q19" s="695"/>
      <c r="R19" s="692" t="s">
        <v>672</v>
      </c>
    </row>
    <row r="20" spans="1:18" s="696" customFormat="1" ht="34.5" customHeight="1">
      <c r="A20" s="690" t="s">
        <v>682</v>
      </c>
      <c r="B20" s="691" t="s">
        <v>690</v>
      </c>
      <c r="C20" s="692" t="s">
        <v>689</v>
      </c>
      <c r="D20" s="693">
        <f t="shared" si="4"/>
        <v>4200</v>
      </c>
      <c r="E20" s="693">
        <f t="shared" si="3"/>
        <v>4200</v>
      </c>
      <c r="F20" s="695"/>
      <c r="G20" s="695">
        <v>1050</v>
      </c>
      <c r="H20" s="695">
        <v>1050</v>
      </c>
      <c r="I20" s="695">
        <v>1050</v>
      </c>
      <c r="J20" s="695">
        <v>1050</v>
      </c>
      <c r="K20" s="693">
        <f t="shared" si="6"/>
        <v>0</v>
      </c>
      <c r="L20" s="695"/>
      <c r="M20" s="695"/>
      <c r="N20" s="695"/>
      <c r="O20" s="695"/>
      <c r="P20" s="695"/>
      <c r="Q20" s="695"/>
      <c r="R20" s="692" t="s">
        <v>691</v>
      </c>
    </row>
    <row r="21" spans="1:18" s="696" customFormat="1" ht="35.25" customHeight="1">
      <c r="A21" s="690" t="s">
        <v>538</v>
      </c>
      <c r="B21" s="691" t="s">
        <v>673</v>
      </c>
      <c r="C21" s="692" t="s">
        <v>674</v>
      </c>
      <c r="D21" s="693">
        <f t="shared" si="4"/>
        <v>100000</v>
      </c>
      <c r="E21" s="695">
        <f>SUM(F21:J21)</f>
        <v>40000</v>
      </c>
      <c r="F21" s="695"/>
      <c r="G21" s="695">
        <v>10000</v>
      </c>
      <c r="H21" s="695">
        <v>10000</v>
      </c>
      <c r="I21" s="695">
        <v>10000</v>
      </c>
      <c r="J21" s="695">
        <v>10000</v>
      </c>
      <c r="K21" s="693">
        <f t="shared" si="6"/>
        <v>55000</v>
      </c>
      <c r="L21" s="695">
        <v>11000</v>
      </c>
      <c r="M21" s="695">
        <v>11000</v>
      </c>
      <c r="N21" s="695">
        <v>11000</v>
      </c>
      <c r="O21" s="695">
        <v>11000</v>
      </c>
      <c r="P21" s="695">
        <v>11000</v>
      </c>
      <c r="Q21" s="695">
        <v>5000</v>
      </c>
      <c r="R21" s="695"/>
    </row>
    <row r="22" spans="1:18" s="696" customFormat="1" ht="70.5" customHeight="1">
      <c r="A22" s="690" t="s">
        <v>688</v>
      </c>
      <c r="B22" s="691" t="s">
        <v>661</v>
      </c>
      <c r="C22" s="692" t="s">
        <v>683</v>
      </c>
      <c r="D22" s="693">
        <f t="shared" si="4"/>
        <v>50000</v>
      </c>
      <c r="E22" s="695">
        <f>SUM(F22:J22)</f>
        <v>20000</v>
      </c>
      <c r="F22" s="695"/>
      <c r="G22" s="695">
        <v>5000</v>
      </c>
      <c r="H22" s="695">
        <v>5000</v>
      </c>
      <c r="I22" s="695">
        <v>5000</v>
      </c>
      <c r="J22" s="695">
        <v>5000</v>
      </c>
      <c r="K22" s="693">
        <f t="shared" si="6"/>
        <v>30000</v>
      </c>
      <c r="L22" s="695">
        <v>6000</v>
      </c>
      <c r="M22" s="695">
        <v>6000</v>
      </c>
      <c r="N22" s="695">
        <v>6000</v>
      </c>
      <c r="O22" s="695">
        <v>6000</v>
      </c>
      <c r="P22" s="695">
        <v>6000</v>
      </c>
      <c r="Q22" s="695"/>
      <c r="R22" s="695"/>
    </row>
    <row r="23" spans="1:18" s="675" customFormat="1" ht="24.75" customHeight="1">
      <c r="A23" s="673" t="s">
        <v>20</v>
      </c>
      <c r="B23" s="676" t="s">
        <v>654</v>
      </c>
      <c r="C23" s="673"/>
      <c r="D23" s="674">
        <f>E23+K23+Q23</f>
        <v>1428512</v>
      </c>
      <c r="E23" s="674">
        <f>E24+E25+E26+E27+E28+E30+E31+E32+E33+E34+E35+E39+E40+E41+E42</f>
        <v>524012</v>
      </c>
      <c r="F23" s="674">
        <f>F24+F25+F26+F27+F28+F29+F30+F31+F33+F34+F35+F39+F40+F41+F42</f>
        <v>10638</v>
      </c>
      <c r="G23" s="674">
        <f>G24+G25+G26+G27+G28+G29+G30+G31+G33+G34+G35+G39+G40+G41+G42</f>
        <v>83353</v>
      </c>
      <c r="H23" s="674">
        <f>H24+H25+H26+H27+H28+H29+H30+H31+H33+H34+H35+H39+H40+H41+H42</f>
        <v>146555</v>
      </c>
      <c r="I23" s="674">
        <f>I24+I25+I26+I27+I28+I29+I30+I31+I33+I34+I35+I39+I40+I41+I42</f>
        <v>196311</v>
      </c>
      <c r="J23" s="674">
        <f>J24+J25+J26+J27+J28+J29+J30+J31+J33+J34+J35+J39+J40+J41+J42</f>
        <v>77155</v>
      </c>
      <c r="K23" s="674">
        <f>SUM(L23:P23)</f>
        <v>377500</v>
      </c>
      <c r="L23" s="674">
        <f aca="true" t="shared" si="7" ref="L23:Q23">L24+L25+L26+L27+L28+L29+L30+L31+L33+L34+L35+L39+L40+L41+L42</f>
        <v>63700</v>
      </c>
      <c r="M23" s="674">
        <f t="shared" si="7"/>
        <v>93700</v>
      </c>
      <c r="N23" s="674">
        <f t="shared" si="7"/>
        <v>88700</v>
      </c>
      <c r="O23" s="674">
        <f t="shared" si="7"/>
        <v>92700</v>
      </c>
      <c r="P23" s="674">
        <f t="shared" si="7"/>
        <v>38700</v>
      </c>
      <c r="Q23" s="674">
        <f t="shared" si="7"/>
        <v>527000</v>
      </c>
      <c r="R23" s="674"/>
    </row>
    <row r="24" spans="1:18" s="675" customFormat="1" ht="49.5" customHeight="1">
      <c r="A24" s="681">
        <v>1</v>
      </c>
      <c r="B24" s="680" t="s">
        <v>725</v>
      </c>
      <c r="C24" s="673"/>
      <c r="D24" s="682">
        <f t="shared" si="4"/>
        <v>150000</v>
      </c>
      <c r="E24" s="674"/>
      <c r="F24" s="674"/>
      <c r="G24" s="674"/>
      <c r="H24" s="674"/>
      <c r="I24" s="674"/>
      <c r="J24" s="674"/>
      <c r="K24" s="682">
        <f aca="true" t="shared" si="8" ref="K24:K35">SUM(L24:P24)</f>
        <v>150000</v>
      </c>
      <c r="L24" s="682">
        <v>10000</v>
      </c>
      <c r="M24" s="682">
        <v>40000</v>
      </c>
      <c r="N24" s="682">
        <v>50000</v>
      </c>
      <c r="O24" s="682">
        <v>50000</v>
      </c>
      <c r="P24" s="674"/>
      <c r="Q24" s="674"/>
      <c r="R24" s="674"/>
    </row>
    <row r="25" spans="1:18" s="702" customFormat="1" ht="42.75" customHeight="1">
      <c r="A25" s="698">
        <v>2</v>
      </c>
      <c r="B25" s="699" t="s">
        <v>655</v>
      </c>
      <c r="C25" s="700"/>
      <c r="D25" s="682">
        <f t="shared" si="4"/>
        <v>50000</v>
      </c>
      <c r="E25" s="701">
        <f>SUM(F25:J25)</f>
        <v>50000</v>
      </c>
      <c r="F25" s="701"/>
      <c r="G25" s="701">
        <v>5000</v>
      </c>
      <c r="H25" s="701">
        <v>20000</v>
      </c>
      <c r="I25" s="701">
        <v>25000</v>
      </c>
      <c r="J25" s="701"/>
      <c r="K25" s="682">
        <f t="shared" si="8"/>
        <v>0</v>
      </c>
      <c r="L25" s="701"/>
      <c r="M25" s="701"/>
      <c r="N25" s="701"/>
      <c r="O25" s="701"/>
      <c r="P25" s="701"/>
      <c r="Q25" s="701"/>
      <c r="R25" s="700"/>
    </row>
    <row r="26" spans="1:18" s="702" customFormat="1" ht="48.75" customHeight="1">
      <c r="A26" s="698">
        <v>3</v>
      </c>
      <c r="B26" s="699" t="s">
        <v>656</v>
      </c>
      <c r="C26" s="700"/>
      <c r="D26" s="682">
        <f t="shared" si="4"/>
        <v>83000</v>
      </c>
      <c r="E26" s="701">
        <f aca="true" t="shared" si="9" ref="E26:E42">SUM(F26:J26)</f>
        <v>83000</v>
      </c>
      <c r="F26" s="701"/>
      <c r="G26" s="701">
        <v>3000</v>
      </c>
      <c r="H26" s="701">
        <v>40000</v>
      </c>
      <c r="I26" s="701">
        <v>40000</v>
      </c>
      <c r="J26" s="701"/>
      <c r="K26" s="682">
        <f t="shared" si="8"/>
        <v>0</v>
      </c>
      <c r="L26" s="701"/>
      <c r="M26" s="701"/>
      <c r="N26" s="701"/>
      <c r="O26" s="701"/>
      <c r="P26" s="701"/>
      <c r="Q26" s="701"/>
      <c r="R26" s="700"/>
    </row>
    <row r="27" spans="1:18" s="702" customFormat="1" ht="48" customHeight="1">
      <c r="A27" s="698">
        <v>4</v>
      </c>
      <c r="B27" s="699" t="s">
        <v>667</v>
      </c>
      <c r="C27" s="700" t="s">
        <v>698</v>
      </c>
      <c r="D27" s="682">
        <f t="shared" si="4"/>
        <v>135000</v>
      </c>
      <c r="E27" s="701">
        <f t="shared" si="9"/>
        <v>135000</v>
      </c>
      <c r="F27" s="701"/>
      <c r="G27" s="701"/>
      <c r="H27" s="701">
        <v>15000</v>
      </c>
      <c r="I27" s="701">
        <v>60000</v>
      </c>
      <c r="J27" s="701">
        <v>60000</v>
      </c>
      <c r="K27" s="682">
        <f t="shared" si="8"/>
        <v>0</v>
      </c>
      <c r="L27" s="701"/>
      <c r="M27" s="701"/>
      <c r="N27" s="701"/>
      <c r="O27" s="701"/>
      <c r="P27" s="701"/>
      <c r="Q27" s="701"/>
      <c r="R27" s="700"/>
    </row>
    <row r="28" spans="1:18" s="702" customFormat="1" ht="55.5" customHeight="1">
      <c r="A28" s="698">
        <v>5</v>
      </c>
      <c r="B28" s="699" t="s">
        <v>709</v>
      </c>
      <c r="C28" s="700"/>
      <c r="D28" s="682">
        <f t="shared" si="4"/>
        <v>30000</v>
      </c>
      <c r="E28" s="701">
        <f>SUM(F28:J28)</f>
        <v>0</v>
      </c>
      <c r="F28" s="701"/>
      <c r="G28" s="701"/>
      <c r="H28" s="701"/>
      <c r="I28" s="701"/>
      <c r="J28" s="701"/>
      <c r="K28" s="682">
        <f t="shared" si="8"/>
        <v>30000</v>
      </c>
      <c r="L28" s="701">
        <v>15000</v>
      </c>
      <c r="M28" s="701">
        <v>15000</v>
      </c>
      <c r="N28" s="701"/>
      <c r="O28" s="701"/>
      <c r="P28" s="701"/>
      <c r="Q28" s="701"/>
      <c r="R28" s="700"/>
    </row>
    <row r="29" spans="1:18" s="743" customFormat="1" ht="55.5" customHeight="1">
      <c r="A29" s="738">
        <v>6</v>
      </c>
      <c r="B29" s="739" t="s">
        <v>722</v>
      </c>
      <c r="C29" s="740" t="s">
        <v>731</v>
      </c>
      <c r="D29" s="741">
        <f t="shared" si="4"/>
        <v>400000</v>
      </c>
      <c r="E29" s="742"/>
      <c r="F29" s="742"/>
      <c r="G29" s="742"/>
      <c r="H29" s="742"/>
      <c r="I29" s="742"/>
      <c r="J29" s="742"/>
      <c r="K29" s="741">
        <f t="shared" si="8"/>
        <v>0</v>
      </c>
      <c r="L29" s="742"/>
      <c r="M29" s="742"/>
      <c r="N29" s="742"/>
      <c r="O29" s="742"/>
      <c r="P29" s="742"/>
      <c r="Q29" s="742">
        <v>400000</v>
      </c>
      <c r="R29" s="742"/>
    </row>
    <row r="30" spans="1:18" s="702" customFormat="1" ht="48" customHeight="1">
      <c r="A30" s="698">
        <v>7</v>
      </c>
      <c r="B30" s="699" t="s">
        <v>669</v>
      </c>
      <c r="C30" s="700" t="s">
        <v>670</v>
      </c>
      <c r="D30" s="682">
        <f t="shared" si="4"/>
        <v>20</v>
      </c>
      <c r="E30" s="701">
        <f>SUM(F30:J30)</f>
        <v>20</v>
      </c>
      <c r="F30" s="701"/>
      <c r="G30" s="701">
        <v>5</v>
      </c>
      <c r="H30" s="701">
        <v>5</v>
      </c>
      <c r="I30" s="701">
        <v>5</v>
      </c>
      <c r="J30" s="701">
        <v>5</v>
      </c>
      <c r="K30" s="682">
        <f t="shared" si="8"/>
        <v>0</v>
      </c>
      <c r="L30" s="701"/>
      <c r="M30" s="701"/>
      <c r="N30" s="701"/>
      <c r="O30" s="701"/>
      <c r="P30" s="701"/>
      <c r="Q30" s="701"/>
      <c r="R30" s="700"/>
    </row>
    <row r="31" spans="1:18" s="702" customFormat="1" ht="33" customHeight="1">
      <c r="A31" s="698">
        <v>8</v>
      </c>
      <c r="B31" s="699" t="s">
        <v>657</v>
      </c>
      <c r="C31" s="700" t="s">
        <v>694</v>
      </c>
      <c r="D31" s="682">
        <f t="shared" si="4"/>
        <v>200</v>
      </c>
      <c r="E31" s="701">
        <f>SUM(F31:J31)</f>
        <v>200</v>
      </c>
      <c r="F31" s="701"/>
      <c r="G31" s="701">
        <v>50</v>
      </c>
      <c r="H31" s="701">
        <v>50</v>
      </c>
      <c r="I31" s="701">
        <v>50</v>
      </c>
      <c r="J31" s="701">
        <v>50</v>
      </c>
      <c r="K31" s="701">
        <f t="shared" si="8"/>
        <v>0</v>
      </c>
      <c r="L31" s="701"/>
      <c r="M31" s="701"/>
      <c r="N31" s="701"/>
      <c r="O31" s="701"/>
      <c r="P31" s="701"/>
      <c r="Q31" s="701"/>
      <c r="R31" s="703"/>
    </row>
    <row r="32" spans="1:18" s="743" customFormat="1" ht="71.25" customHeight="1">
      <c r="A32" s="738">
        <v>9</v>
      </c>
      <c r="B32" s="739" t="s">
        <v>721</v>
      </c>
      <c r="C32" s="740" t="s">
        <v>719</v>
      </c>
      <c r="D32" s="741">
        <f>E32+K32+Q32</f>
        <v>10000</v>
      </c>
      <c r="E32" s="742">
        <f>SUM(F32:J32)</f>
        <v>10000</v>
      </c>
      <c r="F32" s="742"/>
      <c r="G32" s="742"/>
      <c r="H32" s="742"/>
      <c r="I32" s="742">
        <v>5000</v>
      </c>
      <c r="J32" s="742">
        <v>5000</v>
      </c>
      <c r="K32" s="742">
        <f t="shared" si="8"/>
        <v>0</v>
      </c>
      <c r="L32" s="742"/>
      <c r="M32" s="742"/>
      <c r="N32" s="742"/>
      <c r="O32" s="742"/>
      <c r="P32" s="742"/>
      <c r="Q32" s="742"/>
      <c r="R32" s="755"/>
    </row>
    <row r="33" spans="1:18" s="702" customFormat="1" ht="35.25" customHeight="1">
      <c r="A33" s="698">
        <v>10</v>
      </c>
      <c r="B33" s="699" t="s">
        <v>659</v>
      </c>
      <c r="C33" s="700" t="s">
        <v>695</v>
      </c>
      <c r="D33" s="682">
        <f t="shared" si="4"/>
        <v>36000</v>
      </c>
      <c r="E33" s="701">
        <f t="shared" si="9"/>
        <v>8500</v>
      </c>
      <c r="F33" s="701">
        <v>1000</v>
      </c>
      <c r="G33" s="701">
        <v>1500</v>
      </c>
      <c r="H33" s="701">
        <v>2000</v>
      </c>
      <c r="I33" s="701">
        <v>2000</v>
      </c>
      <c r="J33" s="701">
        <v>2000</v>
      </c>
      <c r="K33" s="682">
        <f t="shared" si="8"/>
        <v>12500</v>
      </c>
      <c r="L33" s="701">
        <v>2500</v>
      </c>
      <c r="M33" s="701">
        <v>2500</v>
      </c>
      <c r="N33" s="701">
        <v>2500</v>
      </c>
      <c r="O33" s="701">
        <v>2500</v>
      </c>
      <c r="P33" s="701">
        <v>2500</v>
      </c>
      <c r="Q33" s="701">
        <v>15000</v>
      </c>
      <c r="R33" s="703"/>
    </row>
    <row r="34" spans="1:18" s="702" customFormat="1" ht="58.5" customHeight="1">
      <c r="A34" s="698">
        <v>11</v>
      </c>
      <c r="B34" s="699" t="s">
        <v>718</v>
      </c>
      <c r="C34" s="700" t="s">
        <v>719</v>
      </c>
      <c r="D34" s="682">
        <f t="shared" si="4"/>
        <v>200000</v>
      </c>
      <c r="E34" s="701">
        <f t="shared" si="9"/>
        <v>0</v>
      </c>
      <c r="F34" s="701"/>
      <c r="G34" s="701"/>
      <c r="H34" s="701"/>
      <c r="I34" s="701"/>
      <c r="J34" s="701"/>
      <c r="K34" s="682">
        <f>SUM(L34:P34)</f>
        <v>150000</v>
      </c>
      <c r="L34" s="701">
        <v>30000</v>
      </c>
      <c r="M34" s="701">
        <v>30000</v>
      </c>
      <c r="N34" s="701">
        <v>30000</v>
      </c>
      <c r="O34" s="701">
        <v>30000</v>
      </c>
      <c r="P34" s="701">
        <v>30000</v>
      </c>
      <c r="Q34" s="701">
        <v>50000</v>
      </c>
      <c r="R34" s="703"/>
    </row>
    <row r="35" spans="1:18" s="702" customFormat="1" ht="53.25" customHeight="1">
      <c r="A35" s="698">
        <v>12</v>
      </c>
      <c r="B35" s="699" t="s">
        <v>658</v>
      </c>
      <c r="C35" s="700" t="s">
        <v>696</v>
      </c>
      <c r="D35" s="682">
        <f t="shared" si="4"/>
        <v>191092</v>
      </c>
      <c r="E35" s="701">
        <f aca="true" t="shared" si="10" ref="E35:J35">SUM(E36:E38)</f>
        <v>191092</v>
      </c>
      <c r="F35" s="701">
        <f t="shared" si="10"/>
        <v>3838</v>
      </c>
      <c r="G35" s="701">
        <f t="shared" si="10"/>
        <v>68698</v>
      </c>
      <c r="H35" s="701">
        <f>SUM(H36:H38)</f>
        <v>64400</v>
      </c>
      <c r="I35" s="701">
        <f t="shared" si="10"/>
        <v>54156</v>
      </c>
      <c r="J35" s="704">
        <f t="shared" si="10"/>
        <v>0</v>
      </c>
      <c r="K35" s="683">
        <f t="shared" si="8"/>
        <v>0</v>
      </c>
      <c r="L35" s="701"/>
      <c r="M35" s="701"/>
      <c r="N35" s="701"/>
      <c r="O35" s="701"/>
      <c r="P35" s="701"/>
      <c r="Q35" s="701"/>
      <c r="R35" s="703"/>
    </row>
    <row r="36" spans="1:18" s="696" customFormat="1" ht="84" customHeight="1">
      <c r="A36" s="690" t="s">
        <v>726</v>
      </c>
      <c r="B36" s="691" t="s">
        <v>675</v>
      </c>
      <c r="C36" s="692"/>
      <c r="D36" s="693">
        <f t="shared" si="4"/>
        <v>29698</v>
      </c>
      <c r="E36" s="695">
        <f>SUM(G36:J36)</f>
        <v>29698</v>
      </c>
      <c r="F36" s="705"/>
      <c r="G36" s="695">
        <f>15000-1302</f>
        <v>13698</v>
      </c>
      <c r="H36" s="695">
        <v>11400</v>
      </c>
      <c r="I36" s="695">
        <v>4600</v>
      </c>
      <c r="J36" s="697"/>
      <c r="K36" s="694"/>
      <c r="L36" s="695"/>
      <c r="M36" s="695"/>
      <c r="N36" s="695"/>
      <c r="O36" s="695"/>
      <c r="P36" s="695"/>
      <c r="Q36" s="695"/>
      <c r="R36" s="705"/>
    </row>
    <row r="37" spans="1:18" s="696" customFormat="1" ht="69" customHeight="1">
      <c r="A37" s="690" t="s">
        <v>727</v>
      </c>
      <c r="B37" s="691" t="s">
        <v>677</v>
      </c>
      <c r="C37" s="692" t="s">
        <v>676</v>
      </c>
      <c r="D37" s="693">
        <f t="shared" si="4"/>
        <v>147336</v>
      </c>
      <c r="E37" s="695">
        <f t="shared" si="9"/>
        <v>147336</v>
      </c>
      <c r="F37" s="695"/>
      <c r="G37" s="695">
        <v>50000</v>
      </c>
      <c r="H37" s="695">
        <v>50000</v>
      </c>
      <c r="I37" s="695">
        <f>54000-6664</f>
        <v>47336</v>
      </c>
      <c r="J37" s="697"/>
      <c r="K37" s="694">
        <f>SUM(L37:P37)</f>
        <v>0</v>
      </c>
      <c r="L37" s="695"/>
      <c r="M37" s="695"/>
      <c r="N37" s="695"/>
      <c r="O37" s="695"/>
      <c r="P37" s="695"/>
      <c r="Q37" s="695"/>
      <c r="R37" s="692"/>
    </row>
    <row r="38" spans="1:18" s="696" customFormat="1" ht="49.5" customHeight="1">
      <c r="A38" s="690" t="s">
        <v>728</v>
      </c>
      <c r="B38" s="691" t="s">
        <v>678</v>
      </c>
      <c r="C38" s="692"/>
      <c r="D38" s="693">
        <f t="shared" si="4"/>
        <v>14058</v>
      </c>
      <c r="E38" s="695">
        <f>SUM(F38:J38)</f>
        <v>14058</v>
      </c>
      <c r="F38" s="695">
        <v>3838</v>
      </c>
      <c r="G38" s="695">
        <v>5000</v>
      </c>
      <c r="H38" s="695">
        <v>3000</v>
      </c>
      <c r="I38" s="695">
        <v>2220</v>
      </c>
      <c r="J38" s="697"/>
      <c r="K38" s="697"/>
      <c r="L38" s="695"/>
      <c r="M38" s="695"/>
      <c r="N38" s="695"/>
      <c r="O38" s="695"/>
      <c r="P38" s="695"/>
      <c r="Q38" s="695"/>
      <c r="R38" s="692"/>
    </row>
    <row r="39" spans="1:18" s="743" customFormat="1" ht="49.5" customHeight="1">
      <c r="A39" s="756" t="s">
        <v>720</v>
      </c>
      <c r="B39" s="739" t="s">
        <v>733</v>
      </c>
      <c r="C39" s="740"/>
      <c r="D39" s="741">
        <f t="shared" si="4"/>
        <v>98300</v>
      </c>
      <c r="E39" s="701">
        <f>SUM(F39:J39)</f>
        <v>24300</v>
      </c>
      <c r="F39" s="742">
        <f>2850+1450</f>
        <v>4300</v>
      </c>
      <c r="G39" s="742">
        <v>5000</v>
      </c>
      <c r="H39" s="742">
        <v>5000</v>
      </c>
      <c r="I39" s="742">
        <v>5000</v>
      </c>
      <c r="J39" s="757">
        <v>5000</v>
      </c>
      <c r="K39" s="760">
        <f>SUM(L39:P39)</f>
        <v>34000</v>
      </c>
      <c r="L39" s="742">
        <v>6000</v>
      </c>
      <c r="M39" s="742">
        <v>6000</v>
      </c>
      <c r="N39" s="742">
        <v>6000</v>
      </c>
      <c r="O39" s="742">
        <v>10000</v>
      </c>
      <c r="P39" s="742">
        <v>6000</v>
      </c>
      <c r="Q39" s="742">
        <v>40000</v>
      </c>
      <c r="R39" s="740"/>
    </row>
    <row r="40" spans="1:18" s="702" customFormat="1" ht="45" customHeight="1">
      <c r="A40" s="706" t="s">
        <v>729</v>
      </c>
      <c r="B40" s="699" t="s">
        <v>664</v>
      </c>
      <c r="C40" s="700" t="s">
        <v>665</v>
      </c>
      <c r="D40" s="682">
        <f t="shared" si="4"/>
        <v>2500</v>
      </c>
      <c r="E40" s="701">
        <f t="shared" si="9"/>
        <v>1500</v>
      </c>
      <c r="F40" s="701">
        <v>1500</v>
      </c>
      <c r="G40" s="701"/>
      <c r="H40" s="701"/>
      <c r="I40" s="701"/>
      <c r="J40" s="704"/>
      <c r="K40" s="683">
        <f>SUM(L40:P40)</f>
        <v>0</v>
      </c>
      <c r="L40" s="701"/>
      <c r="M40" s="701"/>
      <c r="N40" s="701"/>
      <c r="O40" s="701"/>
      <c r="P40" s="701"/>
      <c r="Q40" s="701">
        <v>1000</v>
      </c>
      <c r="R40" s="703"/>
    </row>
    <row r="41" spans="1:19" s="703" customFormat="1" ht="50.25" customHeight="1">
      <c r="A41" s="706" t="s">
        <v>730</v>
      </c>
      <c r="B41" s="699" t="s">
        <v>684</v>
      </c>
      <c r="C41" s="700" t="s">
        <v>685</v>
      </c>
      <c r="D41" s="682">
        <f t="shared" si="4"/>
        <v>40000</v>
      </c>
      <c r="E41" s="701">
        <f t="shared" si="9"/>
        <v>20000</v>
      </c>
      <c r="F41" s="701"/>
      <c r="G41" s="701"/>
      <c r="H41" s="701"/>
      <c r="I41" s="701">
        <v>10000</v>
      </c>
      <c r="J41" s="701">
        <v>10000</v>
      </c>
      <c r="K41" s="683">
        <f>SUM(L41:P41)</f>
        <v>0</v>
      </c>
      <c r="L41" s="701"/>
      <c r="M41" s="701"/>
      <c r="N41" s="701"/>
      <c r="O41" s="701"/>
      <c r="P41" s="701"/>
      <c r="Q41" s="701">
        <v>20000</v>
      </c>
      <c r="S41" s="707"/>
    </row>
    <row r="42" spans="1:18" s="702" customFormat="1" ht="33.75" customHeight="1">
      <c r="A42" s="708" t="s">
        <v>732</v>
      </c>
      <c r="B42" s="709" t="s">
        <v>666</v>
      </c>
      <c r="C42" s="710"/>
      <c r="D42" s="711">
        <f t="shared" si="4"/>
        <v>2400</v>
      </c>
      <c r="E42" s="712">
        <f t="shared" si="9"/>
        <v>400</v>
      </c>
      <c r="F42" s="712"/>
      <c r="G42" s="712">
        <v>100</v>
      </c>
      <c r="H42" s="712">
        <v>100</v>
      </c>
      <c r="I42" s="712">
        <v>100</v>
      </c>
      <c r="J42" s="712">
        <v>100</v>
      </c>
      <c r="K42" s="711">
        <f>SUM(L42:P42)</f>
        <v>1000</v>
      </c>
      <c r="L42" s="712">
        <v>200</v>
      </c>
      <c r="M42" s="712">
        <v>200</v>
      </c>
      <c r="N42" s="712">
        <v>200</v>
      </c>
      <c r="O42" s="712">
        <v>200</v>
      </c>
      <c r="P42" s="712">
        <v>200</v>
      </c>
      <c r="Q42" s="712">
        <v>1000</v>
      </c>
      <c r="R42" s="713"/>
    </row>
    <row r="43" spans="1:18" s="702" customFormat="1" ht="21" customHeight="1" hidden="1">
      <c r="A43" s="714"/>
      <c r="B43" s="715"/>
      <c r="C43" s="716"/>
      <c r="D43" s="717"/>
      <c r="E43" s="717"/>
      <c r="F43" s="717"/>
      <c r="G43" s="717"/>
      <c r="H43" s="717"/>
      <c r="I43" s="717"/>
      <c r="J43" s="717"/>
      <c r="K43" s="718">
        <f>SUM(L43:P43)</f>
        <v>0</v>
      </c>
      <c r="L43" s="717"/>
      <c r="M43" s="717"/>
      <c r="N43" s="717"/>
      <c r="O43" s="717"/>
      <c r="P43" s="717"/>
      <c r="Q43" s="717"/>
      <c r="R43" s="719"/>
    </row>
    <row r="44" spans="1:2" s="722" customFormat="1" ht="15">
      <c r="A44" s="720"/>
      <c r="B44" s="721"/>
    </row>
    <row r="45" spans="1:2" s="722" customFormat="1" ht="15">
      <c r="A45" s="720"/>
      <c r="B45" s="723"/>
    </row>
    <row r="46" spans="1:18" s="722" customFormat="1" ht="15">
      <c r="A46" s="724"/>
      <c r="B46" s="725"/>
      <c r="C46" s="726"/>
      <c r="D46" s="726"/>
      <c r="E46" s="726"/>
      <c r="F46" s="726"/>
      <c r="G46" s="726"/>
      <c r="H46" s="726"/>
      <c r="I46" s="726"/>
      <c r="J46" s="726"/>
      <c r="K46" s="726"/>
      <c r="L46" s="726"/>
      <c r="M46" s="726"/>
      <c r="N46" s="726"/>
      <c r="O46" s="726"/>
      <c r="P46" s="726"/>
      <c r="Q46" s="726"/>
      <c r="R46" s="726"/>
    </row>
    <row r="47" spans="1:18" ht="18.75">
      <c r="A47" s="727"/>
      <c r="B47" s="728"/>
      <c r="C47" s="729"/>
      <c r="D47" s="729"/>
      <c r="E47" s="729"/>
      <c r="F47" s="729"/>
      <c r="G47" s="729"/>
      <c r="H47" s="729"/>
      <c r="I47" s="729"/>
      <c r="J47" s="729"/>
      <c r="K47" s="729"/>
      <c r="L47" s="729"/>
      <c r="M47" s="729"/>
      <c r="N47" s="729"/>
      <c r="O47" s="729"/>
      <c r="P47" s="729"/>
      <c r="Q47" s="729"/>
      <c r="R47" s="729"/>
    </row>
    <row r="48" spans="1:18" ht="18.75">
      <c r="A48" s="727"/>
      <c r="B48" s="728"/>
      <c r="C48" s="730"/>
      <c r="D48" s="729"/>
      <c r="E48" s="729"/>
      <c r="F48" s="729"/>
      <c r="G48" s="729"/>
      <c r="H48" s="729"/>
      <c r="I48" s="729"/>
      <c r="J48" s="729"/>
      <c r="K48" s="729"/>
      <c r="L48" s="729"/>
      <c r="M48" s="729"/>
      <c r="N48" s="729"/>
      <c r="O48" s="729"/>
      <c r="P48" s="729"/>
      <c r="Q48" s="729"/>
      <c r="R48" s="729"/>
    </row>
    <row r="49" spans="2:3" ht="18.75">
      <c r="B49" s="731"/>
      <c r="C49" s="732"/>
    </row>
    <row r="50" spans="2:3" ht="18.75">
      <c r="B50" s="731"/>
      <c r="C50" s="732"/>
    </row>
    <row r="51" spans="2:3" ht="18.75">
      <c r="B51" s="733"/>
      <c r="C51" s="732"/>
    </row>
    <row r="52" spans="2:3" ht="18.75">
      <c r="B52" s="731"/>
      <c r="C52" s="732"/>
    </row>
    <row r="53" spans="2:3" ht="18.75">
      <c r="B53" s="731"/>
      <c r="C53" s="732"/>
    </row>
    <row r="54" ht="18.75">
      <c r="B54" s="734"/>
    </row>
    <row r="55" ht="18.75">
      <c r="B55" s="731"/>
    </row>
    <row r="56" ht="18.75">
      <c r="B56" s="731"/>
    </row>
    <row r="57" ht="18.75">
      <c r="B57" s="731"/>
    </row>
    <row r="58" ht="18.75">
      <c r="B58" s="734"/>
    </row>
    <row r="59" ht="18.75">
      <c r="B59" s="731"/>
    </row>
    <row r="60" ht="18.75">
      <c r="B60" s="731"/>
    </row>
    <row r="61" ht="18.75">
      <c r="B61" s="734"/>
    </row>
    <row r="62" ht="18.75">
      <c r="B62" s="731"/>
    </row>
    <row r="63" ht="18.75">
      <c r="B63" s="734"/>
    </row>
    <row r="64" ht="18.75">
      <c r="B64" s="731"/>
    </row>
    <row r="65" spans="3:4" ht="18.75">
      <c r="C65" s="734"/>
      <c r="D65" s="734"/>
    </row>
    <row r="66" ht="18.75">
      <c r="E66" s="734"/>
    </row>
    <row r="67" ht="18.75">
      <c r="B67" s="731"/>
    </row>
    <row r="68" ht="18.75">
      <c r="B68" s="731"/>
    </row>
    <row r="69" ht="18.75">
      <c r="B69" s="731"/>
    </row>
  </sheetData>
  <sheetProtection/>
  <mergeCells count="11">
    <mergeCell ref="C5:C6"/>
    <mergeCell ref="D5:D6"/>
    <mergeCell ref="E5:J5"/>
    <mergeCell ref="K5:P5"/>
    <mergeCell ref="Q5:Q6"/>
    <mergeCell ref="R5:R6"/>
    <mergeCell ref="G1:J1"/>
    <mergeCell ref="A2:R2"/>
    <mergeCell ref="A3:R3"/>
    <mergeCell ref="A5:A6"/>
    <mergeCell ref="B5:B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G69"/>
  <sheetViews>
    <sheetView zoomScalePageLayoutView="0" workbookViewId="0" topLeftCell="A1">
      <selection activeCell="B8" sqref="B8"/>
    </sheetView>
  </sheetViews>
  <sheetFormatPr defaultColWidth="9.140625" defaultRowHeight="12.75"/>
  <cols>
    <col min="1" max="1" width="5.8515625" style="588" customWidth="1"/>
    <col min="2" max="2" width="42.8515625" style="0" customWidth="1"/>
    <col min="3" max="3" width="13.140625" style="0" customWidth="1"/>
    <col min="4" max="4" width="12.28125" style="0" customWidth="1"/>
    <col min="5" max="5" width="13.28125" style="0" customWidth="1"/>
    <col min="6" max="6" width="8.57421875" style="0" hidden="1" customWidth="1"/>
    <col min="7" max="7" width="7.00390625" style="0" hidden="1" customWidth="1"/>
    <col min="8" max="8" width="8.00390625" style="0" hidden="1" customWidth="1"/>
    <col min="9" max="9" width="7.57421875" style="0" hidden="1" customWidth="1"/>
    <col min="10" max="10" width="8.140625" style="0" hidden="1" customWidth="1"/>
    <col min="11" max="11" width="7.8515625" style="0" hidden="1" customWidth="1"/>
    <col min="12" max="12" width="8.57421875" style="0" hidden="1" customWidth="1"/>
    <col min="13" max="13" width="7.421875" style="0" hidden="1" customWidth="1"/>
    <col min="14" max="14" width="6.8515625" style="0" hidden="1" customWidth="1"/>
    <col min="15" max="15" width="7.28125" style="0" hidden="1" customWidth="1"/>
    <col min="16" max="16" width="6.8515625" style="0" hidden="1" customWidth="1"/>
    <col min="17" max="17" width="7.421875" style="0" hidden="1" customWidth="1"/>
    <col min="18" max="18" width="12.8515625" style="0" customWidth="1"/>
    <col min="19" max="19" width="12.140625" style="0" customWidth="1"/>
    <col min="20" max="20" width="10.28125" style="0" customWidth="1"/>
    <col min="21" max="21" width="10.57421875" style="0" customWidth="1"/>
    <col min="22" max="22" width="10.00390625" style="0" customWidth="1"/>
    <col min="23" max="23" width="9.57421875" style="0" bestFit="1" customWidth="1"/>
    <col min="24" max="24" width="10.7109375" style="0" bestFit="1" customWidth="1"/>
  </cols>
  <sheetData>
    <row r="1" spans="4:18" ht="15.75" customHeight="1">
      <c r="D1" s="591" t="s">
        <v>699</v>
      </c>
      <c r="E1" s="591"/>
      <c r="H1" s="591" t="s">
        <v>699</v>
      </c>
      <c r="R1" s="629"/>
    </row>
    <row r="2" spans="1:22" s="582" customFormat="1" ht="26.25" customHeight="1">
      <c r="A2" s="863" t="s">
        <v>736</v>
      </c>
      <c r="B2" s="863"/>
      <c r="C2" s="863"/>
      <c r="D2" s="863"/>
      <c r="E2" s="863"/>
      <c r="F2" s="863"/>
      <c r="G2" s="863"/>
      <c r="H2" s="863"/>
      <c r="I2" s="863"/>
      <c r="J2" s="863"/>
      <c r="K2" s="863"/>
      <c r="L2" s="863"/>
      <c r="M2" s="863"/>
      <c r="N2" s="863"/>
      <c r="O2" s="863"/>
      <c r="P2" s="863"/>
      <c r="Q2" s="863"/>
      <c r="R2" s="863"/>
      <c r="S2" s="863"/>
      <c r="T2" s="863"/>
      <c r="U2" s="863"/>
      <c r="V2" s="863"/>
    </row>
    <row r="3" spans="1:22" s="582" customFormat="1" ht="40.5" customHeight="1">
      <c r="A3" s="872" t="s">
        <v>734</v>
      </c>
      <c r="B3" s="872"/>
      <c r="C3" s="872"/>
      <c r="D3" s="872"/>
      <c r="E3" s="872"/>
      <c r="F3" s="872"/>
      <c r="G3" s="872"/>
      <c r="H3" s="872"/>
      <c r="I3" s="872"/>
      <c r="J3" s="872"/>
      <c r="K3" s="872"/>
      <c r="L3" s="872"/>
      <c r="M3" s="872"/>
      <c r="N3" s="872"/>
      <c r="O3" s="872"/>
      <c r="P3" s="872"/>
      <c r="Q3" s="872"/>
      <c r="R3" s="872"/>
      <c r="S3" s="872"/>
      <c r="T3" s="872"/>
      <c r="U3" s="872"/>
      <c r="V3" s="872"/>
    </row>
    <row r="4" spans="1:22" s="583" customFormat="1" ht="19.5" customHeight="1">
      <c r="A4" s="581"/>
      <c r="B4" s="581"/>
      <c r="C4" s="581"/>
      <c r="D4" s="581"/>
      <c r="E4" s="581"/>
      <c r="F4" s="581"/>
      <c r="G4" s="581"/>
      <c r="H4" s="651"/>
      <c r="I4" s="581"/>
      <c r="J4" s="873" t="s">
        <v>710</v>
      </c>
      <c r="K4" s="873"/>
      <c r="L4" s="873"/>
      <c r="M4" s="873"/>
      <c r="N4" s="873"/>
      <c r="O4" s="873"/>
      <c r="P4" s="873"/>
      <c r="Q4" s="873"/>
      <c r="R4" s="593"/>
      <c r="T4" s="874" t="s">
        <v>16</v>
      </c>
      <c r="U4" s="874"/>
      <c r="V4" s="874"/>
    </row>
    <row r="5" spans="1:22" s="584" customFormat="1" ht="30" customHeight="1">
      <c r="A5" s="858" t="s">
        <v>643</v>
      </c>
      <c r="B5" s="858" t="s">
        <v>644</v>
      </c>
      <c r="C5" s="868" t="s">
        <v>716</v>
      </c>
      <c r="D5" s="868" t="s">
        <v>717</v>
      </c>
      <c r="E5" s="868" t="s">
        <v>715</v>
      </c>
      <c r="F5" s="838" t="s">
        <v>647</v>
      </c>
      <c r="G5" s="870"/>
      <c r="H5" s="870"/>
      <c r="I5" s="870"/>
      <c r="J5" s="870"/>
      <c r="K5" s="871"/>
      <c r="L5" s="838" t="s">
        <v>697</v>
      </c>
      <c r="M5" s="870"/>
      <c r="N5" s="870"/>
      <c r="O5" s="870"/>
      <c r="P5" s="870"/>
      <c r="Q5" s="871"/>
      <c r="R5" s="837" t="s">
        <v>18</v>
      </c>
      <c r="S5" s="837"/>
      <c r="T5" s="837"/>
      <c r="U5" s="837"/>
      <c r="V5" s="858" t="s">
        <v>711</v>
      </c>
    </row>
    <row r="6" spans="1:22" s="584" customFormat="1" ht="66" customHeight="1">
      <c r="A6" s="859"/>
      <c r="B6" s="859"/>
      <c r="C6" s="869"/>
      <c r="D6" s="869"/>
      <c r="E6" s="869"/>
      <c r="F6" s="158" t="s">
        <v>663</v>
      </c>
      <c r="G6" s="158">
        <v>2016</v>
      </c>
      <c r="H6" s="158">
        <v>2017</v>
      </c>
      <c r="I6" s="158">
        <v>2018</v>
      </c>
      <c r="J6" s="158">
        <v>2019</v>
      </c>
      <c r="K6" s="158">
        <v>2020</v>
      </c>
      <c r="L6" s="158" t="s">
        <v>662</v>
      </c>
      <c r="M6" s="158">
        <v>2021</v>
      </c>
      <c r="N6" s="158">
        <v>2022</v>
      </c>
      <c r="O6" s="158">
        <v>2023</v>
      </c>
      <c r="P6" s="158">
        <v>2024</v>
      </c>
      <c r="Q6" s="158">
        <v>2025</v>
      </c>
      <c r="R6" s="650" t="s">
        <v>700</v>
      </c>
      <c r="S6" s="650" t="s">
        <v>701</v>
      </c>
      <c r="T6" s="650" t="s">
        <v>702</v>
      </c>
      <c r="U6" s="650" t="s">
        <v>703</v>
      </c>
      <c r="V6" s="858"/>
    </row>
    <row r="7" spans="1:24" s="596" customFormat="1" ht="24.75" customHeight="1">
      <c r="A7" s="594"/>
      <c r="B7" s="647" t="s">
        <v>378</v>
      </c>
      <c r="C7" s="648" t="e">
        <f aca="true" t="shared" si="0" ref="C7:U7">C8+C23</f>
        <v>#REF!</v>
      </c>
      <c r="D7" s="648">
        <f t="shared" si="0"/>
        <v>136553</v>
      </c>
      <c r="E7" s="648" t="e">
        <f t="shared" si="0"/>
        <v>#REF!</v>
      </c>
      <c r="F7" s="648">
        <f t="shared" si="0"/>
        <v>1266223</v>
      </c>
      <c r="G7" s="648">
        <f t="shared" si="0"/>
        <v>67300</v>
      </c>
      <c r="H7" s="648">
        <f t="shared" si="0"/>
        <v>219708</v>
      </c>
      <c r="I7" s="648">
        <f t="shared" si="0"/>
        <v>307805</v>
      </c>
      <c r="J7" s="648">
        <f t="shared" si="0"/>
        <v>374205</v>
      </c>
      <c r="K7" s="648">
        <f t="shared" si="0"/>
        <v>297205</v>
      </c>
      <c r="L7" s="648">
        <f t="shared" si="0"/>
        <v>723500</v>
      </c>
      <c r="M7" s="648">
        <f t="shared" si="0"/>
        <v>84700</v>
      </c>
      <c r="N7" s="648">
        <f t="shared" si="0"/>
        <v>194700</v>
      </c>
      <c r="O7" s="648">
        <f t="shared" si="0"/>
        <v>154700</v>
      </c>
      <c r="P7" s="648">
        <f t="shared" si="0"/>
        <v>154700</v>
      </c>
      <c r="Q7" s="648">
        <f t="shared" si="0"/>
        <v>134700</v>
      </c>
      <c r="R7" s="648" t="e">
        <f t="shared" si="0"/>
        <v>#REF!</v>
      </c>
      <c r="S7" s="648" t="e">
        <f t="shared" si="0"/>
        <v>#REF!</v>
      </c>
      <c r="T7" s="648">
        <f t="shared" si="0"/>
        <v>169971.42693600003</v>
      </c>
      <c r="U7" s="648">
        <f t="shared" si="0"/>
        <v>603200</v>
      </c>
      <c r="V7" s="595"/>
      <c r="X7" s="649"/>
    </row>
    <row r="8" spans="1:22" s="599" customFormat="1" ht="29.25" customHeight="1">
      <c r="A8" s="597" t="s">
        <v>19</v>
      </c>
      <c r="B8" s="122" t="s">
        <v>648</v>
      </c>
      <c r="C8" s="598" t="e">
        <f>C9+C12</f>
        <v>#REF!</v>
      </c>
      <c r="D8" s="598">
        <f>D9+D12</f>
        <v>136553</v>
      </c>
      <c r="E8" s="598" t="e">
        <f>E9+E12</f>
        <v>#REF!</v>
      </c>
      <c r="F8" s="598">
        <f aca="true" t="shared" si="1" ref="F8:U8">F9+F12</f>
        <v>512803</v>
      </c>
      <c r="G8" s="598">
        <f t="shared" si="1"/>
        <v>26000</v>
      </c>
      <c r="H8" s="598">
        <f t="shared" si="1"/>
        <v>133653</v>
      </c>
      <c r="I8" s="598">
        <f t="shared" si="1"/>
        <v>91050</v>
      </c>
      <c r="J8" s="598">
        <f t="shared" si="1"/>
        <v>131050</v>
      </c>
      <c r="K8" s="598">
        <f t="shared" si="1"/>
        <v>131050</v>
      </c>
      <c r="L8" s="598">
        <f t="shared" si="1"/>
        <v>560000</v>
      </c>
      <c r="M8" s="598">
        <f t="shared" si="1"/>
        <v>52000</v>
      </c>
      <c r="N8" s="598">
        <f t="shared" si="1"/>
        <v>162000</v>
      </c>
      <c r="O8" s="598">
        <f t="shared" si="1"/>
        <v>122000</v>
      </c>
      <c r="P8" s="598">
        <f t="shared" si="1"/>
        <v>122000</v>
      </c>
      <c r="Q8" s="598">
        <f t="shared" si="1"/>
        <v>102000</v>
      </c>
      <c r="R8" s="598" t="e">
        <f t="shared" si="1"/>
        <v>#REF!</v>
      </c>
      <c r="S8" s="598">
        <f t="shared" si="1"/>
        <v>29200</v>
      </c>
      <c r="T8" s="653">
        <f t="shared" si="1"/>
        <v>0</v>
      </c>
      <c r="U8" s="653">
        <f t="shared" si="1"/>
        <v>0</v>
      </c>
      <c r="V8" s="623"/>
    </row>
    <row r="9" spans="1:22" s="600" customFormat="1" ht="24.75" customHeight="1">
      <c r="A9" s="597">
        <v>1</v>
      </c>
      <c r="B9" s="122" t="s">
        <v>258</v>
      </c>
      <c r="C9" s="598">
        <f>SUM(C10:C11)</f>
        <v>259935</v>
      </c>
      <c r="D9" s="598">
        <f>SUM(D10:D11)</f>
        <v>136553</v>
      </c>
      <c r="E9" s="598">
        <f>SUM(E10:E11)</f>
        <v>123382</v>
      </c>
      <c r="F9" s="598">
        <f aca="true" t="shared" si="2" ref="F9:U9">SUM(F10:F11)</f>
        <v>128603</v>
      </c>
      <c r="G9" s="598">
        <f t="shared" si="2"/>
        <v>26000</v>
      </c>
      <c r="H9" s="598">
        <f t="shared" si="2"/>
        <v>102603</v>
      </c>
      <c r="I9" s="598">
        <f t="shared" si="2"/>
        <v>0</v>
      </c>
      <c r="J9" s="598">
        <f t="shared" si="2"/>
        <v>0</v>
      </c>
      <c r="K9" s="598">
        <f t="shared" si="2"/>
        <v>0</v>
      </c>
      <c r="L9" s="598">
        <f t="shared" si="2"/>
        <v>0</v>
      </c>
      <c r="M9" s="598">
        <f t="shared" si="2"/>
        <v>0</v>
      </c>
      <c r="N9" s="598">
        <f t="shared" si="2"/>
        <v>0</v>
      </c>
      <c r="O9" s="598">
        <f t="shared" si="2"/>
        <v>0</v>
      </c>
      <c r="P9" s="598">
        <f t="shared" si="2"/>
        <v>0</v>
      </c>
      <c r="Q9" s="598">
        <f t="shared" si="2"/>
        <v>0</v>
      </c>
      <c r="R9" s="598">
        <f t="shared" si="2"/>
        <v>123382</v>
      </c>
      <c r="S9" s="598">
        <f t="shared" si="2"/>
        <v>0</v>
      </c>
      <c r="T9" s="653">
        <f t="shared" si="2"/>
        <v>0</v>
      </c>
      <c r="U9" s="653">
        <f t="shared" si="2"/>
        <v>0</v>
      </c>
      <c r="V9" s="636"/>
    </row>
    <row r="10" spans="1:22" s="603" customFormat="1" ht="44.25" customHeight="1">
      <c r="A10" s="601"/>
      <c r="B10" s="119" t="s">
        <v>649</v>
      </c>
      <c r="C10" s="602">
        <v>48374</v>
      </c>
      <c r="D10" s="602">
        <v>23595</v>
      </c>
      <c r="E10" s="602">
        <f>'Bieu 03- Phương'!D19</f>
        <v>24779</v>
      </c>
      <c r="F10" s="602">
        <f aca="true" t="shared" si="3" ref="F10:F20">SUM(G10:K10)</f>
        <v>30000</v>
      </c>
      <c r="G10" s="602"/>
      <c r="H10" s="602">
        <v>30000</v>
      </c>
      <c r="I10" s="602"/>
      <c r="J10" s="602"/>
      <c r="K10" s="602"/>
      <c r="L10" s="602">
        <f>SUM(M10:Q10)</f>
        <v>0</v>
      </c>
      <c r="M10" s="602"/>
      <c r="N10" s="602"/>
      <c r="O10" s="602"/>
      <c r="P10" s="602"/>
      <c r="Q10" s="602"/>
      <c r="R10" s="602">
        <f>E10</f>
        <v>24779</v>
      </c>
      <c r="S10" s="624"/>
      <c r="T10" s="654"/>
      <c r="U10" s="654"/>
      <c r="V10" s="645"/>
    </row>
    <row r="11" spans="1:22" s="603" customFormat="1" ht="46.5" customHeight="1">
      <c r="A11" s="601"/>
      <c r="B11" s="119" t="s">
        <v>650</v>
      </c>
      <c r="C11" s="602">
        <v>211561</v>
      </c>
      <c r="D11" s="602">
        <v>112958</v>
      </c>
      <c r="E11" s="602">
        <f>'Bieu 03- Phương'!D20</f>
        <v>98603</v>
      </c>
      <c r="F11" s="602">
        <f t="shared" si="3"/>
        <v>98603</v>
      </c>
      <c r="G11" s="602">
        <v>26000</v>
      </c>
      <c r="H11" s="602">
        <v>72603</v>
      </c>
      <c r="I11" s="602"/>
      <c r="J11" s="602"/>
      <c r="K11" s="602"/>
      <c r="L11" s="602">
        <f>SUM(M11:Q11)</f>
        <v>0</v>
      </c>
      <c r="M11" s="602"/>
      <c r="N11" s="602"/>
      <c r="O11" s="602"/>
      <c r="P11" s="602"/>
      <c r="Q11" s="602"/>
      <c r="R11" s="602">
        <f>E11</f>
        <v>98603</v>
      </c>
      <c r="S11" s="644"/>
      <c r="T11" s="654"/>
      <c r="U11" s="654"/>
      <c r="V11" s="637"/>
    </row>
    <row r="12" spans="1:22" s="604" customFormat="1" ht="26.25" customHeight="1">
      <c r="A12" s="643" t="s">
        <v>133</v>
      </c>
      <c r="B12" s="136" t="s">
        <v>651</v>
      </c>
      <c r="C12" s="598" t="e">
        <f>SUM(C13:C22)</f>
        <v>#REF!</v>
      </c>
      <c r="D12" s="598">
        <f aca="true" t="shared" si="4" ref="D12:Q12">SUM(D13:D22)</f>
        <v>0</v>
      </c>
      <c r="E12" s="598" t="e">
        <f t="shared" si="4"/>
        <v>#REF!</v>
      </c>
      <c r="F12" s="598">
        <f t="shared" si="4"/>
        <v>384200</v>
      </c>
      <c r="G12" s="598">
        <f t="shared" si="4"/>
        <v>0</v>
      </c>
      <c r="H12" s="598">
        <f t="shared" si="4"/>
        <v>31050</v>
      </c>
      <c r="I12" s="598">
        <f t="shared" si="4"/>
        <v>91050</v>
      </c>
      <c r="J12" s="598">
        <f t="shared" si="4"/>
        <v>131050</v>
      </c>
      <c r="K12" s="598">
        <f t="shared" si="4"/>
        <v>131050</v>
      </c>
      <c r="L12" s="598">
        <f t="shared" si="4"/>
        <v>560000</v>
      </c>
      <c r="M12" s="598">
        <f t="shared" si="4"/>
        <v>52000</v>
      </c>
      <c r="N12" s="598">
        <f t="shared" si="4"/>
        <v>162000</v>
      </c>
      <c r="O12" s="598">
        <f t="shared" si="4"/>
        <v>122000</v>
      </c>
      <c r="P12" s="598">
        <f t="shared" si="4"/>
        <v>122000</v>
      </c>
      <c r="Q12" s="598">
        <f t="shared" si="4"/>
        <v>102000</v>
      </c>
      <c r="R12" s="598" t="e">
        <f>SUM(R13:R22)</f>
        <v>#REF!</v>
      </c>
      <c r="S12" s="598">
        <f>SUM(S13:S22)</f>
        <v>29200</v>
      </c>
      <c r="T12" s="653">
        <f>SUM(T13:T22)</f>
        <v>0</v>
      </c>
      <c r="U12" s="653">
        <f>SUM(U13:U22)</f>
        <v>0</v>
      </c>
      <c r="V12" s="638"/>
    </row>
    <row r="13" spans="1:22" s="605" customFormat="1" ht="54" customHeight="1">
      <c r="A13" s="606" t="s">
        <v>129</v>
      </c>
      <c r="B13" s="30" t="s">
        <v>652</v>
      </c>
      <c r="C13" s="77">
        <f aca="true" t="shared" si="5" ref="C13:C21">R13+S13+T13+U13</f>
        <v>210000</v>
      </c>
      <c r="D13" s="68"/>
      <c r="E13" s="602">
        <f>'Bieu 03- Phương'!D22</f>
        <v>210000</v>
      </c>
      <c r="F13" s="602">
        <f t="shared" si="3"/>
        <v>200000</v>
      </c>
      <c r="G13" s="77"/>
      <c r="H13" s="77">
        <v>10000</v>
      </c>
      <c r="I13" s="77">
        <v>60000</v>
      </c>
      <c r="J13" s="77">
        <v>70000</v>
      </c>
      <c r="K13" s="77">
        <v>60000</v>
      </c>
      <c r="L13" s="602">
        <f aca="true" t="shared" si="6" ref="L13:L22">SUM(M13:Q13)</f>
        <v>0</v>
      </c>
      <c r="M13" s="77"/>
      <c r="N13" s="77"/>
      <c r="O13" s="77"/>
      <c r="P13" s="77"/>
      <c r="Q13" s="77"/>
      <c r="R13" s="77">
        <f aca="true" t="shared" si="7" ref="R13:R19">E13</f>
        <v>210000</v>
      </c>
      <c r="S13" s="625"/>
      <c r="T13" s="655"/>
      <c r="U13" s="655"/>
      <c r="V13" s="639"/>
    </row>
    <row r="14" spans="1:22" s="605" customFormat="1" ht="42" customHeight="1">
      <c r="A14" s="606" t="s">
        <v>130</v>
      </c>
      <c r="B14" s="30" t="s">
        <v>687</v>
      </c>
      <c r="C14" s="77">
        <f t="shared" si="5"/>
        <v>50000</v>
      </c>
      <c r="D14" s="68"/>
      <c r="E14" s="602">
        <f>'Bieu 03- Phương'!D23</f>
        <v>50000</v>
      </c>
      <c r="F14" s="602">
        <f>SUM(G14:K14)</f>
        <v>100000</v>
      </c>
      <c r="G14" s="77"/>
      <c r="H14" s="77"/>
      <c r="I14" s="77">
        <v>10000</v>
      </c>
      <c r="J14" s="77">
        <v>40000</v>
      </c>
      <c r="K14" s="77">
        <v>50000</v>
      </c>
      <c r="L14" s="602">
        <f t="shared" si="6"/>
        <v>0</v>
      </c>
      <c r="M14" s="77"/>
      <c r="N14" s="77"/>
      <c r="O14" s="77"/>
      <c r="P14" s="77"/>
      <c r="Q14" s="77"/>
      <c r="R14" s="77">
        <f t="shared" si="7"/>
        <v>50000</v>
      </c>
      <c r="S14" s="625"/>
      <c r="T14" s="655"/>
      <c r="U14" s="655"/>
      <c r="V14" s="639"/>
    </row>
    <row r="15" spans="1:22" s="605" customFormat="1" ht="44.25" customHeight="1">
      <c r="A15" s="606" t="s">
        <v>131</v>
      </c>
      <c r="B15" s="30" t="s">
        <v>686</v>
      </c>
      <c r="C15" s="77">
        <f t="shared" si="5"/>
        <v>50000</v>
      </c>
      <c r="D15" s="68"/>
      <c r="E15" s="602">
        <f>'Bieu 03- Phương'!D24</f>
        <v>50000</v>
      </c>
      <c r="F15" s="602">
        <f t="shared" si="3"/>
        <v>0</v>
      </c>
      <c r="G15" s="77"/>
      <c r="H15" s="77"/>
      <c r="I15" s="77"/>
      <c r="J15" s="77"/>
      <c r="K15" s="77"/>
      <c r="L15" s="602">
        <f t="shared" si="6"/>
        <v>50000</v>
      </c>
      <c r="M15" s="77">
        <v>10000</v>
      </c>
      <c r="N15" s="77">
        <v>40000</v>
      </c>
      <c r="O15" s="77"/>
      <c r="P15" s="77"/>
      <c r="Q15" s="77"/>
      <c r="R15" s="77">
        <f t="shared" si="7"/>
        <v>50000</v>
      </c>
      <c r="S15" s="625"/>
      <c r="T15" s="655"/>
      <c r="U15" s="655"/>
      <c r="V15" s="639"/>
    </row>
    <row r="16" spans="1:22" s="652" customFormat="1" ht="45" customHeight="1">
      <c r="A16" s="62" t="s">
        <v>132</v>
      </c>
      <c r="B16" s="30" t="s">
        <v>668</v>
      </c>
      <c r="C16" s="77">
        <f t="shared" si="5"/>
        <v>200000</v>
      </c>
      <c r="D16" s="68"/>
      <c r="E16" s="602">
        <f>'Bieu 03- Phương'!D25</f>
        <v>200000</v>
      </c>
      <c r="F16" s="77">
        <f t="shared" si="3"/>
        <v>0</v>
      </c>
      <c r="G16" s="77"/>
      <c r="H16" s="77"/>
      <c r="I16" s="77"/>
      <c r="J16" s="77"/>
      <c r="K16" s="77"/>
      <c r="L16" s="602">
        <f t="shared" si="6"/>
        <v>200000</v>
      </c>
      <c r="M16" s="77">
        <v>10000</v>
      </c>
      <c r="N16" s="77">
        <v>50000</v>
      </c>
      <c r="O16" s="77">
        <v>50000</v>
      </c>
      <c r="P16" s="77">
        <v>50000</v>
      </c>
      <c r="Q16" s="77">
        <v>40000</v>
      </c>
      <c r="R16" s="77">
        <f t="shared" si="7"/>
        <v>200000</v>
      </c>
      <c r="S16" s="70"/>
      <c r="T16" s="656"/>
      <c r="U16" s="656"/>
      <c r="V16" s="557"/>
    </row>
    <row r="17" spans="1:22" s="652" customFormat="1" ht="45" customHeight="1">
      <c r="A17" s="62" t="s">
        <v>679</v>
      </c>
      <c r="B17" s="30" t="s">
        <v>653</v>
      </c>
      <c r="C17" s="77">
        <f t="shared" si="5"/>
        <v>200000</v>
      </c>
      <c r="D17" s="68"/>
      <c r="E17" s="602">
        <f>'Bieu 03- Phương'!D26</f>
        <v>200000</v>
      </c>
      <c r="F17" s="77">
        <f t="shared" si="3"/>
        <v>0</v>
      </c>
      <c r="G17" s="77"/>
      <c r="H17" s="77"/>
      <c r="I17" s="77"/>
      <c r="J17" s="77"/>
      <c r="K17" s="77"/>
      <c r="L17" s="602">
        <f t="shared" si="6"/>
        <v>200000</v>
      </c>
      <c r="M17" s="77">
        <v>10000</v>
      </c>
      <c r="N17" s="77">
        <v>50000</v>
      </c>
      <c r="O17" s="77">
        <v>50000</v>
      </c>
      <c r="P17" s="77">
        <v>50000</v>
      </c>
      <c r="Q17" s="77">
        <v>40000</v>
      </c>
      <c r="R17" s="77">
        <f t="shared" si="7"/>
        <v>200000</v>
      </c>
      <c r="S17" s="70"/>
      <c r="T17" s="656"/>
      <c r="U17" s="656"/>
      <c r="V17" s="557"/>
    </row>
    <row r="18" spans="1:22" s="652" customFormat="1" ht="45" customHeight="1">
      <c r="A18" s="62" t="s">
        <v>680</v>
      </c>
      <c r="B18" s="30" t="str">
        <f>'[5]Bieu 03'!B18</f>
        <v>Đầu tư bảo tồn , tôn tạo các điểm di tích khác có khả năng phục hồi</v>
      </c>
      <c r="C18" s="77">
        <f t="shared" si="5"/>
        <v>350000</v>
      </c>
      <c r="D18" s="68"/>
      <c r="E18" s="602">
        <f>'Bieu 03- Phương'!D27</f>
        <v>350000</v>
      </c>
      <c r="F18" s="77"/>
      <c r="G18" s="77"/>
      <c r="H18" s="77"/>
      <c r="I18" s="77"/>
      <c r="J18" s="77"/>
      <c r="K18" s="77"/>
      <c r="L18" s="602"/>
      <c r="M18" s="77"/>
      <c r="N18" s="77"/>
      <c r="O18" s="77"/>
      <c r="P18" s="77"/>
      <c r="Q18" s="77"/>
      <c r="R18" s="77">
        <f>E18</f>
        <v>350000</v>
      </c>
      <c r="S18" s="70"/>
      <c r="T18" s="656"/>
      <c r="U18" s="656"/>
      <c r="V18" s="557"/>
    </row>
    <row r="19" spans="1:22" s="605" customFormat="1" ht="50.25" customHeight="1">
      <c r="A19" s="62" t="s">
        <v>681</v>
      </c>
      <c r="B19" s="30" t="s">
        <v>671</v>
      </c>
      <c r="C19" s="77">
        <f t="shared" si="5"/>
        <v>45000</v>
      </c>
      <c r="D19" s="68"/>
      <c r="E19" s="602">
        <f>'Bieu 03- Phương'!D28</f>
        <v>45000</v>
      </c>
      <c r="F19" s="602">
        <f t="shared" si="3"/>
        <v>20000</v>
      </c>
      <c r="G19" s="77"/>
      <c r="H19" s="77">
        <v>5000</v>
      </c>
      <c r="I19" s="77">
        <v>5000</v>
      </c>
      <c r="J19" s="77">
        <v>5000</v>
      </c>
      <c r="K19" s="77">
        <v>5000</v>
      </c>
      <c r="L19" s="602">
        <f t="shared" si="6"/>
        <v>25000</v>
      </c>
      <c r="M19" s="77">
        <v>5000</v>
      </c>
      <c r="N19" s="77">
        <v>5000</v>
      </c>
      <c r="O19" s="77">
        <v>5000</v>
      </c>
      <c r="P19" s="77">
        <v>5000</v>
      </c>
      <c r="Q19" s="77">
        <v>5000</v>
      </c>
      <c r="R19" s="77">
        <f t="shared" si="7"/>
        <v>45000</v>
      </c>
      <c r="S19" s="625"/>
      <c r="T19" s="655"/>
      <c r="U19" s="655"/>
      <c r="V19" s="639"/>
    </row>
    <row r="20" spans="1:22" s="605" customFormat="1" ht="35.25" customHeight="1">
      <c r="A20" s="62" t="s">
        <v>682</v>
      </c>
      <c r="B20" s="30" t="s">
        <v>690</v>
      </c>
      <c r="C20" s="77">
        <f t="shared" si="5"/>
        <v>4200</v>
      </c>
      <c r="D20" s="68"/>
      <c r="E20" s="602">
        <f>'Bieu 03- Phương'!D29</f>
        <v>4200</v>
      </c>
      <c r="F20" s="602">
        <f t="shared" si="3"/>
        <v>4200</v>
      </c>
      <c r="G20" s="77"/>
      <c r="H20" s="77">
        <v>1050</v>
      </c>
      <c r="I20" s="77">
        <v>1050</v>
      </c>
      <c r="J20" s="77">
        <v>1050</v>
      </c>
      <c r="K20" s="77">
        <v>1050</v>
      </c>
      <c r="L20" s="602">
        <f t="shared" si="6"/>
        <v>0</v>
      </c>
      <c r="M20" s="77"/>
      <c r="N20" s="77"/>
      <c r="O20" s="77"/>
      <c r="P20" s="77"/>
      <c r="Q20" s="77"/>
      <c r="R20" s="77"/>
      <c r="S20" s="646">
        <f>E20</f>
        <v>4200</v>
      </c>
      <c r="T20" s="655"/>
      <c r="U20" s="655"/>
      <c r="V20" s="639"/>
    </row>
    <row r="21" spans="1:22" s="607" customFormat="1" ht="41.25" customHeight="1">
      <c r="A21" s="62" t="s">
        <v>538</v>
      </c>
      <c r="B21" s="30" t="s">
        <v>673</v>
      </c>
      <c r="C21" s="77">
        <f t="shared" si="5"/>
        <v>100000</v>
      </c>
      <c r="D21" s="68"/>
      <c r="E21" s="602" t="e">
        <f>'Bieu 03- Phương'!#REF!</f>
        <v>#REF!</v>
      </c>
      <c r="F21" s="77">
        <f>SUM(G21:K21)</f>
        <v>40000</v>
      </c>
      <c r="G21" s="77"/>
      <c r="H21" s="77">
        <v>10000</v>
      </c>
      <c r="I21" s="77">
        <v>10000</v>
      </c>
      <c r="J21" s="77">
        <v>10000</v>
      </c>
      <c r="K21" s="77">
        <v>10000</v>
      </c>
      <c r="L21" s="602">
        <f t="shared" si="6"/>
        <v>55000</v>
      </c>
      <c r="M21" s="77">
        <v>11000</v>
      </c>
      <c r="N21" s="77">
        <v>11000</v>
      </c>
      <c r="O21" s="77">
        <v>11000</v>
      </c>
      <c r="P21" s="77">
        <v>11000</v>
      </c>
      <c r="Q21" s="77">
        <v>11000</v>
      </c>
      <c r="R21" s="77">
        <v>75000</v>
      </c>
      <c r="S21" s="625">
        <f>25000</f>
        <v>25000</v>
      </c>
      <c r="T21" s="657"/>
      <c r="U21" s="657"/>
      <c r="V21" s="640"/>
    </row>
    <row r="22" spans="1:22" s="607" customFormat="1" ht="29.25" customHeight="1">
      <c r="A22" s="62" t="s">
        <v>688</v>
      </c>
      <c r="B22" s="30" t="s">
        <v>661</v>
      </c>
      <c r="C22" s="77" t="e">
        <f>R22+S22+T22+U22</f>
        <v>#REF!</v>
      </c>
      <c r="D22" s="68"/>
      <c r="E22" s="602" t="e">
        <f>'Bieu 03- Phương'!#REF!</f>
        <v>#REF!</v>
      </c>
      <c r="F22" s="77">
        <f>SUM(G22:K22)</f>
        <v>20000</v>
      </c>
      <c r="G22" s="77"/>
      <c r="H22" s="77">
        <v>5000</v>
      </c>
      <c r="I22" s="77">
        <v>5000</v>
      </c>
      <c r="J22" s="77">
        <v>5000</v>
      </c>
      <c r="K22" s="77">
        <v>5000</v>
      </c>
      <c r="L22" s="602">
        <f t="shared" si="6"/>
        <v>30000</v>
      </c>
      <c r="M22" s="77">
        <v>6000</v>
      </c>
      <c r="N22" s="77">
        <v>6000</v>
      </c>
      <c r="O22" s="77">
        <v>6000</v>
      </c>
      <c r="P22" s="77">
        <v>6000</v>
      </c>
      <c r="Q22" s="77">
        <v>6000</v>
      </c>
      <c r="R22" s="77" t="e">
        <f>E22</f>
        <v>#REF!</v>
      </c>
      <c r="S22" s="625"/>
      <c r="T22" s="640"/>
      <c r="U22" s="640"/>
      <c r="V22" s="640"/>
    </row>
    <row r="23" spans="1:22" s="599" customFormat="1" ht="24.75" customHeight="1">
      <c r="A23" s="597" t="s">
        <v>20</v>
      </c>
      <c r="B23" s="122" t="s">
        <v>654</v>
      </c>
      <c r="C23" s="598" t="e">
        <f>C24+C25+C26+C27+C28+C29+C30+C31+C32+C33+C34+C35+C39+C40+C41+C42</f>
        <v>#REF!</v>
      </c>
      <c r="D23" s="598">
        <f>D24+D25+D26+D27+D28+D29+D30+D31+D32+D33+D34+D35+D39+D40+D41+D42</f>
        <v>0</v>
      </c>
      <c r="E23" s="598" t="e">
        <f aca="true" t="shared" si="8" ref="E23:T23">E24+E25+E26+E27+E28+E29+E30+E31+E32+E33+E34+E35+E39+E40+E41+E42</f>
        <v>#REF!</v>
      </c>
      <c r="F23" s="598">
        <f t="shared" si="8"/>
        <v>753420</v>
      </c>
      <c r="G23" s="598">
        <f t="shared" si="8"/>
        <v>41300</v>
      </c>
      <c r="H23" s="598">
        <f t="shared" si="8"/>
        <v>86055</v>
      </c>
      <c r="I23" s="598">
        <f t="shared" si="8"/>
        <v>216755</v>
      </c>
      <c r="J23" s="598">
        <f t="shared" si="8"/>
        <v>243155</v>
      </c>
      <c r="K23" s="598">
        <f t="shared" si="8"/>
        <v>166155</v>
      </c>
      <c r="L23" s="598">
        <f t="shared" si="8"/>
        <v>163500</v>
      </c>
      <c r="M23" s="598">
        <f t="shared" si="8"/>
        <v>32700</v>
      </c>
      <c r="N23" s="598">
        <f t="shared" si="8"/>
        <v>32700</v>
      </c>
      <c r="O23" s="598">
        <f t="shared" si="8"/>
        <v>32700</v>
      </c>
      <c r="P23" s="598">
        <f t="shared" si="8"/>
        <v>32700</v>
      </c>
      <c r="Q23" s="598">
        <f t="shared" si="8"/>
        <v>32700</v>
      </c>
      <c r="R23" s="598">
        <f t="shared" si="8"/>
        <v>548100</v>
      </c>
      <c r="S23" s="598" t="e">
        <f t="shared" si="8"/>
        <v>#REF!</v>
      </c>
      <c r="T23" s="598">
        <f t="shared" si="8"/>
        <v>169971.42693600003</v>
      </c>
      <c r="U23" s="598">
        <f>U24+U25+U26+U27+U28+U29+U30+U31+U32+U33+U34+U35+U39+U40+U41+U42</f>
        <v>603200</v>
      </c>
      <c r="V23" s="623"/>
    </row>
    <row r="24" spans="1:22" s="754" customFormat="1" ht="55.5" customHeight="1">
      <c r="A24" s="744">
        <v>1</v>
      </c>
      <c r="B24" s="745" t="str">
        <f>'Bieu 03- Phương'!B53</f>
        <v>Triển khai hoàn thành bức tranh Panoma và mở rộng không gian Bảo tàng chiến thắng Điện Biên Phủ</v>
      </c>
      <c r="C24" s="77">
        <f aca="true" t="shared" si="9" ref="C24:C42">R24+S24+T24+U24</f>
        <v>150000</v>
      </c>
      <c r="D24" s="752"/>
      <c r="E24" s="748">
        <f>'Bieu 03- Phương'!D53</f>
        <v>150000</v>
      </c>
      <c r="F24" s="752"/>
      <c r="G24" s="752"/>
      <c r="H24" s="752"/>
      <c r="I24" s="752"/>
      <c r="J24" s="752"/>
      <c r="K24" s="752"/>
      <c r="L24" s="752"/>
      <c r="M24" s="752"/>
      <c r="N24" s="752"/>
      <c r="O24" s="752"/>
      <c r="P24" s="752"/>
      <c r="Q24" s="752"/>
      <c r="R24" s="748">
        <v>140000</v>
      </c>
      <c r="S24" s="748">
        <v>10000</v>
      </c>
      <c r="T24" s="752"/>
      <c r="U24" s="752"/>
      <c r="V24" s="753"/>
    </row>
    <row r="25" spans="1:22" s="605" customFormat="1" ht="46.5" customHeight="1">
      <c r="A25" s="608">
        <v>2</v>
      </c>
      <c r="B25" s="30" t="s">
        <v>655</v>
      </c>
      <c r="C25" s="77">
        <f t="shared" si="9"/>
        <v>73000</v>
      </c>
      <c r="D25" s="68"/>
      <c r="E25" s="602">
        <f>'Bieu 03- Phương'!D54</f>
        <v>73000</v>
      </c>
      <c r="F25" s="77">
        <f>SUM(G25:K25)</f>
        <v>90000</v>
      </c>
      <c r="G25" s="77"/>
      <c r="H25" s="77">
        <v>1000</v>
      </c>
      <c r="I25" s="77">
        <v>10000</v>
      </c>
      <c r="J25" s="77">
        <v>40000</v>
      </c>
      <c r="K25" s="77">
        <v>39000</v>
      </c>
      <c r="L25" s="602">
        <f aca="true" t="shared" si="10" ref="L25:L34">SUM(M25:Q25)</f>
        <v>0</v>
      </c>
      <c r="M25" s="77"/>
      <c r="N25" s="77"/>
      <c r="O25" s="77"/>
      <c r="P25" s="77"/>
      <c r="Q25" s="77"/>
      <c r="R25" s="77"/>
      <c r="S25" s="625"/>
      <c r="T25" s="639"/>
      <c r="U25" s="627">
        <f>E25</f>
        <v>73000</v>
      </c>
      <c r="V25" s="639"/>
    </row>
    <row r="26" spans="1:22" s="607" customFormat="1" ht="48.75" customHeight="1">
      <c r="A26" s="162">
        <v>3</v>
      </c>
      <c r="B26" s="30" t="s">
        <v>656</v>
      </c>
      <c r="C26" s="77">
        <f t="shared" si="9"/>
        <v>83000</v>
      </c>
      <c r="D26" s="68"/>
      <c r="E26" s="602">
        <f>'Bieu 03- Phương'!D55</f>
        <v>83000</v>
      </c>
      <c r="F26" s="77">
        <f aca="true" t="shared" si="11" ref="F26:F42">SUM(G26:K26)</f>
        <v>83000</v>
      </c>
      <c r="G26" s="77"/>
      <c r="H26" s="77">
        <v>1000</v>
      </c>
      <c r="I26" s="77">
        <v>40000</v>
      </c>
      <c r="J26" s="77">
        <v>42000</v>
      </c>
      <c r="K26" s="77"/>
      <c r="L26" s="602">
        <f t="shared" si="10"/>
        <v>0</v>
      </c>
      <c r="M26" s="77"/>
      <c r="N26" s="77"/>
      <c r="O26" s="77"/>
      <c r="P26" s="77"/>
      <c r="Q26" s="77"/>
      <c r="R26" s="77">
        <f>E26-U26</f>
        <v>58100</v>
      </c>
      <c r="S26" s="626"/>
      <c r="T26" s="640"/>
      <c r="U26" s="658">
        <f>E26*0.3</f>
        <v>24900</v>
      </c>
      <c r="V26" s="640"/>
    </row>
    <row r="27" spans="1:22" s="605" customFormat="1" ht="48" customHeight="1">
      <c r="A27" s="608">
        <v>4</v>
      </c>
      <c r="B27" s="30" t="s">
        <v>667</v>
      </c>
      <c r="C27" s="77">
        <f t="shared" si="9"/>
        <v>135000</v>
      </c>
      <c r="D27" s="68"/>
      <c r="E27" s="602">
        <f>'Bieu 03- Phương'!D56</f>
        <v>135000</v>
      </c>
      <c r="F27" s="77">
        <f t="shared" si="11"/>
        <v>300000</v>
      </c>
      <c r="G27" s="77"/>
      <c r="H27" s="77"/>
      <c r="I27" s="77">
        <v>100000</v>
      </c>
      <c r="J27" s="77">
        <v>100000</v>
      </c>
      <c r="K27" s="77">
        <v>100000</v>
      </c>
      <c r="L27" s="602">
        <f t="shared" si="10"/>
        <v>0</v>
      </c>
      <c r="M27" s="77"/>
      <c r="N27" s="77"/>
      <c r="O27" s="77"/>
      <c r="P27" s="77"/>
      <c r="Q27" s="77"/>
      <c r="R27" s="68"/>
      <c r="S27" s="626"/>
      <c r="T27" s="639"/>
      <c r="U27" s="627">
        <f>E27</f>
        <v>135000</v>
      </c>
      <c r="V27" s="639"/>
    </row>
    <row r="28" spans="1:22" s="605" customFormat="1" ht="48" customHeight="1">
      <c r="A28" s="162">
        <v>5</v>
      </c>
      <c r="B28" s="30" t="str">
        <f>'[5]Bieu 03'!B27</f>
        <v>Đầu tư bổ sung một số hạng mục tại Đồi E</v>
      </c>
      <c r="C28" s="77">
        <f t="shared" si="9"/>
        <v>30000</v>
      </c>
      <c r="D28" s="68"/>
      <c r="E28" s="602">
        <f>'Bieu 03- Phương'!D57</f>
        <v>30000</v>
      </c>
      <c r="F28" s="77"/>
      <c r="G28" s="77"/>
      <c r="H28" s="77"/>
      <c r="I28" s="77"/>
      <c r="J28" s="77"/>
      <c r="K28" s="77"/>
      <c r="L28" s="602"/>
      <c r="M28" s="77"/>
      <c r="N28" s="77"/>
      <c r="O28" s="77"/>
      <c r="P28" s="77"/>
      <c r="Q28" s="77"/>
      <c r="R28" s="68"/>
      <c r="S28" s="626"/>
      <c r="T28" s="639"/>
      <c r="U28" s="627">
        <f>E28</f>
        <v>30000</v>
      </c>
      <c r="V28" s="639"/>
    </row>
    <row r="29" spans="1:22" s="751" customFormat="1" ht="48" customHeight="1">
      <c r="A29" s="744">
        <v>6</v>
      </c>
      <c r="B29" s="745" t="e">
        <f>'Bieu 03- Phương'!#REF!</f>
        <v>#REF!</v>
      </c>
      <c r="C29" s="77">
        <f t="shared" si="9"/>
        <v>400000</v>
      </c>
      <c r="D29" s="747"/>
      <c r="E29" s="602" t="e">
        <f>'Bieu 03- Phương'!#REF!</f>
        <v>#REF!</v>
      </c>
      <c r="F29" s="746"/>
      <c r="G29" s="746"/>
      <c r="H29" s="746"/>
      <c r="I29" s="746"/>
      <c r="J29" s="746"/>
      <c r="K29" s="746"/>
      <c r="L29" s="748"/>
      <c r="M29" s="746"/>
      <c r="N29" s="746"/>
      <c r="O29" s="746"/>
      <c r="P29" s="746"/>
      <c r="Q29" s="746"/>
      <c r="R29" s="747">
        <v>350000</v>
      </c>
      <c r="S29" s="747"/>
      <c r="T29" s="749"/>
      <c r="U29" s="750">
        <v>50000</v>
      </c>
      <c r="V29" s="749"/>
    </row>
    <row r="30" spans="1:22" s="605" customFormat="1" ht="48" customHeight="1">
      <c r="A30" s="608">
        <v>7</v>
      </c>
      <c r="B30" s="30" t="s">
        <v>669</v>
      </c>
      <c r="C30" s="77" t="e">
        <f t="shared" si="9"/>
        <v>#REF!</v>
      </c>
      <c r="D30" s="68"/>
      <c r="E30" s="602" t="e">
        <f>'Bieu 03- Phương'!#REF!</f>
        <v>#REF!</v>
      </c>
      <c r="F30" s="77">
        <f>SUM(G30:K30)</f>
        <v>20</v>
      </c>
      <c r="G30" s="77"/>
      <c r="H30" s="77">
        <v>5</v>
      </c>
      <c r="I30" s="77">
        <v>5</v>
      </c>
      <c r="J30" s="77">
        <v>5</v>
      </c>
      <c r="K30" s="77">
        <v>5</v>
      </c>
      <c r="L30" s="602">
        <f t="shared" si="10"/>
        <v>0</v>
      </c>
      <c r="M30" s="77"/>
      <c r="N30" s="77"/>
      <c r="O30" s="77"/>
      <c r="P30" s="77"/>
      <c r="Q30" s="77"/>
      <c r="R30" s="68"/>
      <c r="S30" s="628" t="e">
        <f>E30</f>
        <v>#REF!</v>
      </c>
      <c r="T30" s="639"/>
      <c r="U30" s="639"/>
      <c r="V30" s="639"/>
    </row>
    <row r="31" spans="1:22" s="605" customFormat="1" ht="39" customHeight="1">
      <c r="A31" s="162">
        <v>8</v>
      </c>
      <c r="B31" s="30" t="s">
        <v>657</v>
      </c>
      <c r="C31" s="77" t="e">
        <f t="shared" si="9"/>
        <v>#REF!</v>
      </c>
      <c r="D31" s="68"/>
      <c r="E31" s="602" t="e">
        <f>'Bieu 03- Phương'!#REF!</f>
        <v>#REF!</v>
      </c>
      <c r="F31" s="77">
        <f>SUM(G31:K31)</f>
        <v>200</v>
      </c>
      <c r="G31" s="77"/>
      <c r="H31" s="77">
        <v>50</v>
      </c>
      <c r="I31" s="77">
        <v>50</v>
      </c>
      <c r="J31" s="77">
        <v>50</v>
      </c>
      <c r="K31" s="77">
        <v>50</v>
      </c>
      <c r="L31" s="77">
        <f t="shared" si="10"/>
        <v>0</v>
      </c>
      <c r="M31" s="77"/>
      <c r="N31" s="77"/>
      <c r="O31" s="77"/>
      <c r="P31" s="77"/>
      <c r="Q31" s="77"/>
      <c r="R31" s="73"/>
      <c r="S31" s="627" t="e">
        <f>E31</f>
        <v>#REF!</v>
      </c>
      <c r="T31" s="639"/>
      <c r="U31" s="639"/>
      <c r="V31" s="639"/>
    </row>
    <row r="32" spans="1:22" s="605" customFormat="1" ht="76.5" customHeight="1">
      <c r="A32" s="608">
        <v>9</v>
      </c>
      <c r="B32" s="30" t="s">
        <v>721</v>
      </c>
      <c r="C32" s="77">
        <f t="shared" si="9"/>
        <v>10000</v>
      </c>
      <c r="D32" s="68"/>
      <c r="E32" s="602">
        <f>'Bieu 03- Phương'!D58</f>
        <v>10000</v>
      </c>
      <c r="F32" s="77"/>
      <c r="G32" s="77"/>
      <c r="H32" s="77"/>
      <c r="I32" s="77"/>
      <c r="J32" s="77"/>
      <c r="K32" s="77"/>
      <c r="L32" s="77"/>
      <c r="M32" s="77"/>
      <c r="N32" s="77"/>
      <c r="O32" s="77"/>
      <c r="P32" s="77"/>
      <c r="Q32" s="77"/>
      <c r="R32" s="73"/>
      <c r="S32" s="627">
        <f>E32</f>
        <v>10000</v>
      </c>
      <c r="T32" s="639"/>
      <c r="U32" s="639"/>
      <c r="V32" s="639"/>
    </row>
    <row r="33" spans="1:22" s="605" customFormat="1" ht="39.75" customHeight="1">
      <c r="A33" s="162">
        <v>10</v>
      </c>
      <c r="B33" s="30" t="s">
        <v>659</v>
      </c>
      <c r="C33" s="77">
        <f t="shared" si="9"/>
        <v>681198</v>
      </c>
      <c r="D33" s="68"/>
      <c r="E33" s="602">
        <f>'Bieu 03- Phương'!D59</f>
        <v>681198</v>
      </c>
      <c r="F33" s="77">
        <f t="shared" si="11"/>
        <v>8500</v>
      </c>
      <c r="G33" s="77">
        <v>1000</v>
      </c>
      <c r="H33" s="77">
        <v>1500</v>
      </c>
      <c r="I33" s="77">
        <v>2000</v>
      </c>
      <c r="J33" s="77">
        <v>2000</v>
      </c>
      <c r="K33" s="77">
        <v>2000</v>
      </c>
      <c r="L33" s="602">
        <f t="shared" si="10"/>
        <v>12500</v>
      </c>
      <c r="M33" s="77">
        <v>2500</v>
      </c>
      <c r="N33" s="77">
        <v>2500</v>
      </c>
      <c r="O33" s="77">
        <v>2500</v>
      </c>
      <c r="P33" s="77">
        <v>2500</v>
      </c>
      <c r="Q33" s="77">
        <v>2500</v>
      </c>
      <c r="R33" s="73"/>
      <c r="S33" s="627">
        <f>E33</f>
        <v>681198</v>
      </c>
      <c r="T33" s="639"/>
      <c r="U33" s="639"/>
      <c r="V33" s="639"/>
    </row>
    <row r="34" spans="1:22" s="605" customFormat="1" ht="66.75" customHeight="1">
      <c r="A34" s="608">
        <v>11</v>
      </c>
      <c r="B34" s="30" t="s">
        <v>718</v>
      </c>
      <c r="C34" s="77">
        <f t="shared" si="9"/>
        <v>250000</v>
      </c>
      <c r="D34" s="68"/>
      <c r="E34" s="602">
        <f>'Bieu 03- Phương'!D60</f>
        <v>250000</v>
      </c>
      <c r="F34" s="77">
        <f t="shared" si="11"/>
        <v>50000</v>
      </c>
      <c r="G34" s="77"/>
      <c r="H34" s="77">
        <v>10000</v>
      </c>
      <c r="I34" s="77">
        <v>10000</v>
      </c>
      <c r="J34" s="77">
        <v>15000</v>
      </c>
      <c r="K34" s="77">
        <v>15000</v>
      </c>
      <c r="L34" s="602">
        <f t="shared" si="10"/>
        <v>150000</v>
      </c>
      <c r="M34" s="77">
        <v>30000</v>
      </c>
      <c r="N34" s="77">
        <v>30000</v>
      </c>
      <c r="O34" s="77">
        <v>30000</v>
      </c>
      <c r="P34" s="77">
        <v>30000</v>
      </c>
      <c r="Q34" s="77">
        <v>30000</v>
      </c>
      <c r="R34" s="76"/>
      <c r="S34" s="639"/>
      <c r="T34" s="639"/>
      <c r="U34" s="627">
        <f>E34</f>
        <v>250000</v>
      </c>
      <c r="V34" s="639"/>
    </row>
    <row r="35" spans="1:23" s="605" customFormat="1" ht="53.25" customHeight="1">
      <c r="A35" s="162">
        <v>12</v>
      </c>
      <c r="B35" s="30" t="s">
        <v>658</v>
      </c>
      <c r="C35" s="77">
        <f t="shared" si="9"/>
        <v>191091.92854800003</v>
      </c>
      <c r="D35" s="77">
        <f aca="true" t="shared" si="12" ref="D35:U35">D36+D37+D38</f>
        <v>0</v>
      </c>
      <c r="E35" s="602" t="e">
        <f>E36+E37+E38</f>
        <v>#REF!</v>
      </c>
      <c r="F35" s="77">
        <f t="shared" si="12"/>
        <v>199800</v>
      </c>
      <c r="G35" s="77">
        <f t="shared" si="12"/>
        <v>38800</v>
      </c>
      <c r="H35" s="77">
        <f t="shared" si="12"/>
        <v>72400</v>
      </c>
      <c r="I35" s="77">
        <f t="shared" si="12"/>
        <v>54600</v>
      </c>
      <c r="J35" s="77">
        <f t="shared" si="12"/>
        <v>34000</v>
      </c>
      <c r="K35" s="77">
        <f t="shared" si="12"/>
        <v>0</v>
      </c>
      <c r="L35" s="77">
        <f t="shared" si="12"/>
        <v>0</v>
      </c>
      <c r="M35" s="77">
        <f t="shared" si="12"/>
        <v>0</v>
      </c>
      <c r="N35" s="77">
        <f t="shared" si="12"/>
        <v>0</v>
      </c>
      <c r="O35" s="77">
        <f t="shared" si="12"/>
        <v>0</v>
      </c>
      <c r="P35" s="77">
        <f t="shared" si="12"/>
        <v>0</v>
      </c>
      <c r="Q35" s="77">
        <f t="shared" si="12"/>
        <v>0</v>
      </c>
      <c r="R35" s="77">
        <f t="shared" si="12"/>
        <v>0</v>
      </c>
      <c r="S35" s="77">
        <f>S36+S37+S38</f>
        <v>21120.501612</v>
      </c>
      <c r="T35" s="77">
        <f>T36+T37+T38</f>
        <v>169971.42693600003</v>
      </c>
      <c r="U35" s="77">
        <f t="shared" si="12"/>
        <v>0</v>
      </c>
      <c r="V35" s="659" t="s">
        <v>706</v>
      </c>
      <c r="W35" s="661"/>
    </row>
    <row r="36" spans="1:23" s="634" customFormat="1" ht="85.5" customHeight="1">
      <c r="A36" s="630" t="s">
        <v>726</v>
      </c>
      <c r="B36" s="631" t="s">
        <v>704</v>
      </c>
      <c r="C36" s="633">
        <f t="shared" si="9"/>
        <v>29697.741287999997</v>
      </c>
      <c r="D36" s="103"/>
      <c r="E36" s="632">
        <f>'Bieu 03- Phương'!D62</f>
        <v>29698</v>
      </c>
      <c r="F36" s="633">
        <f>SUM(G36:K36)</f>
        <v>31000</v>
      </c>
      <c r="G36" s="633">
        <v>11400</v>
      </c>
      <c r="H36" s="633">
        <v>15000</v>
      </c>
      <c r="I36" s="633">
        <v>4600</v>
      </c>
      <c r="J36" s="633"/>
      <c r="K36" s="633"/>
      <c r="L36" s="632"/>
      <c r="M36" s="633"/>
      <c r="N36" s="633"/>
      <c r="O36" s="633"/>
      <c r="P36" s="633"/>
      <c r="Q36" s="633"/>
      <c r="R36" s="80"/>
      <c r="S36" s="664">
        <f>(114727+7273+69758)*21.036/1000</f>
        <v>4033.821288</v>
      </c>
      <c r="T36" s="633">
        <f>(1147273+72727)*21.036/1000</f>
        <v>25663.92</v>
      </c>
      <c r="U36" s="660"/>
      <c r="V36" s="641"/>
      <c r="W36" s="663"/>
    </row>
    <row r="37" spans="1:23" s="635" customFormat="1" ht="76.5" customHeight="1">
      <c r="A37" s="630" t="s">
        <v>727</v>
      </c>
      <c r="B37" s="631" t="s">
        <v>705</v>
      </c>
      <c r="C37" s="633">
        <f t="shared" si="9"/>
        <v>147335.82846000002</v>
      </c>
      <c r="D37" s="103"/>
      <c r="E37" s="632" t="e">
        <f>'Bieu 03- Phương'!#REF!</f>
        <v>#REF!</v>
      </c>
      <c r="F37" s="633">
        <f t="shared" si="11"/>
        <v>154000</v>
      </c>
      <c r="G37" s="633">
        <v>20000</v>
      </c>
      <c r="H37" s="633">
        <v>50000</v>
      </c>
      <c r="I37" s="633">
        <v>50000</v>
      </c>
      <c r="J37" s="633">
        <v>34000</v>
      </c>
      <c r="K37" s="633"/>
      <c r="L37" s="632">
        <f>SUM(M37:Q37)</f>
        <v>0</v>
      </c>
      <c r="M37" s="633"/>
      <c r="N37" s="633"/>
      <c r="O37" s="633"/>
      <c r="P37" s="633"/>
      <c r="Q37" s="633"/>
      <c r="R37" s="103"/>
      <c r="S37" s="633">
        <f>(621364+2273+143985)*21.036/1000</f>
        <v>16147.696392000002</v>
      </c>
      <c r="T37" s="633">
        <f>(6213636+22727)*21.036/1000</f>
        <v>131188.132068</v>
      </c>
      <c r="U37" s="642"/>
      <c r="V37" s="641"/>
      <c r="W37" s="662"/>
    </row>
    <row r="38" spans="1:23" s="635" customFormat="1" ht="36" customHeight="1">
      <c r="A38" s="630" t="s">
        <v>728</v>
      </c>
      <c r="B38" s="631" t="s">
        <v>678</v>
      </c>
      <c r="C38" s="633">
        <f t="shared" si="9"/>
        <v>14058.3588</v>
      </c>
      <c r="D38" s="103"/>
      <c r="E38" s="632" t="e">
        <f>'Bieu 03- Phương'!#REF!-D38</f>
        <v>#REF!</v>
      </c>
      <c r="F38" s="633">
        <f t="shared" si="11"/>
        <v>14800</v>
      </c>
      <c r="G38" s="633">
        <v>7400</v>
      </c>
      <c r="H38" s="633">
        <v>7400</v>
      </c>
      <c r="I38" s="633"/>
      <c r="J38" s="633"/>
      <c r="K38" s="633"/>
      <c r="L38" s="633"/>
      <c r="M38" s="633"/>
      <c r="N38" s="633"/>
      <c r="O38" s="633"/>
      <c r="P38" s="633"/>
      <c r="Q38" s="633"/>
      <c r="R38" s="103"/>
      <c r="S38" s="633">
        <f>(1004016-959379)*21.036/1000</f>
        <v>938.983932</v>
      </c>
      <c r="T38" s="633">
        <f>(8080027-7456364)*21.036/1000</f>
        <v>13119.374868</v>
      </c>
      <c r="U38" s="642"/>
      <c r="V38" s="641"/>
      <c r="W38" s="662"/>
    </row>
    <row r="39" spans="1:24" s="751" customFormat="1" ht="36" customHeight="1">
      <c r="A39" s="758" t="s">
        <v>720</v>
      </c>
      <c r="B39" s="745" t="e">
        <f>'Bieu 03- Phương'!#REF!</f>
        <v>#REF!</v>
      </c>
      <c r="C39" s="77">
        <f t="shared" si="9"/>
        <v>98300</v>
      </c>
      <c r="D39" s="747"/>
      <c r="E39" s="602" t="e">
        <f>'Bieu 03- Phương'!#REF!-D39</f>
        <v>#REF!</v>
      </c>
      <c r="F39" s="746"/>
      <c r="G39" s="746"/>
      <c r="H39" s="746"/>
      <c r="I39" s="746"/>
      <c r="J39" s="746"/>
      <c r="K39" s="746"/>
      <c r="L39" s="746"/>
      <c r="M39" s="746"/>
      <c r="N39" s="746"/>
      <c r="O39" s="746"/>
      <c r="P39" s="746"/>
      <c r="Q39" s="746"/>
      <c r="R39" s="747"/>
      <c r="S39" s="746">
        <v>58000</v>
      </c>
      <c r="T39" s="746"/>
      <c r="U39" s="750">
        <v>40300</v>
      </c>
      <c r="V39" s="750"/>
      <c r="W39" s="759"/>
      <c r="X39" s="759"/>
    </row>
    <row r="40" spans="1:22" s="605" customFormat="1" ht="45" customHeight="1">
      <c r="A40" s="62" t="s">
        <v>729</v>
      </c>
      <c r="B40" s="30" t="s">
        <v>664</v>
      </c>
      <c r="C40" s="77">
        <f t="shared" si="9"/>
        <v>1500</v>
      </c>
      <c r="D40" s="68"/>
      <c r="E40" s="602">
        <f>'Bieu 03- Phương'!D63</f>
        <v>1500</v>
      </c>
      <c r="F40" s="77">
        <f t="shared" si="11"/>
        <v>1500</v>
      </c>
      <c r="G40" s="77">
        <v>1500</v>
      </c>
      <c r="H40" s="77"/>
      <c r="I40" s="77"/>
      <c r="J40" s="77"/>
      <c r="K40" s="77"/>
      <c r="L40" s="602">
        <f>SUM(M40:Q40)</f>
        <v>0</v>
      </c>
      <c r="M40" s="77"/>
      <c r="N40" s="77"/>
      <c r="O40" s="77"/>
      <c r="P40" s="77"/>
      <c r="Q40" s="77"/>
      <c r="R40" s="73"/>
      <c r="S40" s="627">
        <f>E40</f>
        <v>1500</v>
      </c>
      <c r="T40" s="639"/>
      <c r="U40" s="639"/>
      <c r="V40" s="639"/>
    </row>
    <row r="41" spans="1:33" s="613" customFormat="1" ht="50.25" customHeight="1">
      <c r="A41" s="62" t="s">
        <v>730</v>
      </c>
      <c r="B41" s="30" t="s">
        <v>684</v>
      </c>
      <c r="C41" s="77" t="e">
        <f t="shared" si="9"/>
        <v>#REF!</v>
      </c>
      <c r="D41" s="68"/>
      <c r="E41" s="602" t="e">
        <f>'Bieu 03- Phương'!#REF!</f>
        <v>#REF!</v>
      </c>
      <c r="F41" s="77">
        <f t="shared" si="11"/>
        <v>20000</v>
      </c>
      <c r="G41" s="77"/>
      <c r="H41" s="77"/>
      <c r="I41" s="77"/>
      <c r="J41" s="77">
        <v>10000</v>
      </c>
      <c r="K41" s="77">
        <v>10000</v>
      </c>
      <c r="L41" s="602">
        <f>SUM(M41:Q41)</f>
        <v>0</v>
      </c>
      <c r="M41" s="77"/>
      <c r="N41" s="77"/>
      <c r="O41" s="77"/>
      <c r="P41" s="77"/>
      <c r="Q41" s="77"/>
      <c r="R41" s="73"/>
      <c r="S41" s="627" t="e">
        <f>E41</f>
        <v>#REF!</v>
      </c>
      <c r="T41" s="639"/>
      <c r="U41" s="639"/>
      <c r="V41" s="639"/>
      <c r="W41" s="611"/>
      <c r="X41" s="611"/>
      <c r="Y41" s="611"/>
      <c r="Z41" s="611"/>
      <c r="AA41" s="611"/>
      <c r="AB41" s="611"/>
      <c r="AC41" s="611"/>
      <c r="AD41" s="611"/>
      <c r="AE41" s="611"/>
      <c r="AF41" s="611"/>
      <c r="AG41" s="611"/>
    </row>
    <row r="42" spans="1:22" s="605" customFormat="1" ht="29.25" customHeight="1">
      <c r="A42" s="62" t="s">
        <v>732</v>
      </c>
      <c r="B42" s="30" t="s">
        <v>666</v>
      </c>
      <c r="C42" s="77" t="e">
        <f t="shared" si="9"/>
        <v>#REF!</v>
      </c>
      <c r="D42" s="68"/>
      <c r="E42" s="602" t="e">
        <f>'Bieu 03- Phương'!#REF!</f>
        <v>#REF!</v>
      </c>
      <c r="F42" s="77">
        <f t="shared" si="11"/>
        <v>400</v>
      </c>
      <c r="G42" s="77"/>
      <c r="H42" s="77">
        <v>100</v>
      </c>
      <c r="I42" s="77">
        <v>100</v>
      </c>
      <c r="J42" s="77">
        <v>100</v>
      </c>
      <c r="K42" s="77">
        <v>100</v>
      </c>
      <c r="L42" s="602">
        <f>SUM(M42:Q42)</f>
        <v>1000</v>
      </c>
      <c r="M42" s="77">
        <v>200</v>
      </c>
      <c r="N42" s="77">
        <v>200</v>
      </c>
      <c r="O42" s="77">
        <v>200</v>
      </c>
      <c r="P42" s="77">
        <v>200</v>
      </c>
      <c r="Q42" s="77">
        <v>200</v>
      </c>
      <c r="R42" s="73"/>
      <c r="S42" s="627" t="e">
        <f>E42</f>
        <v>#REF!</v>
      </c>
      <c r="T42" s="639"/>
      <c r="U42" s="639"/>
      <c r="V42" s="639"/>
    </row>
    <row r="43" spans="1:22" s="615" customFormat="1" ht="21" customHeight="1">
      <c r="A43" s="612"/>
      <c r="B43" s="143"/>
      <c r="C43" s="143"/>
      <c r="D43" s="143"/>
      <c r="E43" s="609"/>
      <c r="F43" s="609"/>
      <c r="G43" s="609"/>
      <c r="H43" s="609"/>
      <c r="I43" s="609"/>
      <c r="J43" s="609"/>
      <c r="K43" s="609"/>
      <c r="L43" s="610">
        <f>SUM(M43:Q43)</f>
        <v>0</v>
      </c>
      <c r="M43" s="609"/>
      <c r="N43" s="609"/>
      <c r="O43" s="609"/>
      <c r="P43" s="609"/>
      <c r="Q43" s="609"/>
      <c r="R43" s="614"/>
      <c r="S43" s="614"/>
      <c r="T43" s="614"/>
      <c r="U43" s="614"/>
      <c r="V43" s="614"/>
    </row>
    <row r="44" spans="1:4" s="586" customFormat="1" ht="15">
      <c r="A44" s="585"/>
      <c r="B44" s="587"/>
      <c r="C44" s="587"/>
      <c r="D44" s="587"/>
    </row>
    <row r="45" spans="1:4" s="618" customFormat="1" ht="15">
      <c r="A45" s="616"/>
      <c r="B45" s="617"/>
      <c r="C45" s="617"/>
      <c r="D45" s="617"/>
    </row>
    <row r="46" spans="1:4" s="618" customFormat="1" ht="15">
      <c r="A46" s="616"/>
      <c r="B46" s="619"/>
      <c r="C46" s="619"/>
      <c r="D46" s="619"/>
    </row>
    <row r="47" spans="1:4" s="622" customFormat="1" ht="18.75">
      <c r="A47" s="620"/>
      <c r="B47" s="621"/>
      <c r="C47" s="621"/>
      <c r="D47" s="621"/>
    </row>
    <row r="48" spans="2:4" ht="18.75">
      <c r="B48" s="589"/>
      <c r="C48" s="589"/>
      <c r="D48" s="589"/>
    </row>
    <row r="49" spans="2:4" ht="18.75">
      <c r="B49" s="589"/>
      <c r="C49" s="589"/>
      <c r="D49" s="589"/>
    </row>
    <row r="50" spans="2:4" ht="18.75">
      <c r="B50" s="589"/>
      <c r="C50" s="589"/>
      <c r="D50" s="589"/>
    </row>
    <row r="51" spans="2:4" ht="18.75">
      <c r="B51" s="592"/>
      <c r="C51" s="592"/>
      <c r="D51" s="592"/>
    </row>
    <row r="52" spans="2:4" ht="18.75">
      <c r="B52" s="589"/>
      <c r="C52" s="589"/>
      <c r="D52" s="589"/>
    </row>
    <row r="53" spans="2:4" ht="18.75">
      <c r="B53" s="589"/>
      <c r="C53" s="589"/>
      <c r="D53" s="589"/>
    </row>
    <row r="54" spans="2:4" ht="18.75">
      <c r="B54" s="590"/>
      <c r="C54" s="590"/>
      <c r="D54" s="590"/>
    </row>
    <row r="55" spans="2:4" ht="18.75">
      <c r="B55" s="589"/>
      <c r="C55" s="589"/>
      <c r="D55" s="589"/>
    </row>
    <row r="56" spans="2:4" ht="18.75">
      <c r="B56" s="589"/>
      <c r="C56" s="589"/>
      <c r="D56" s="589"/>
    </row>
    <row r="57" spans="2:4" ht="18.75">
      <c r="B57" s="589"/>
      <c r="C57" s="589"/>
      <c r="D57" s="589"/>
    </row>
    <row r="58" spans="2:4" ht="18.75">
      <c r="B58" s="590"/>
      <c r="C58" s="590"/>
      <c r="D58" s="590"/>
    </row>
    <row r="59" spans="2:4" ht="18.75">
      <c r="B59" s="589"/>
      <c r="C59" s="589"/>
      <c r="D59" s="589"/>
    </row>
    <row r="60" spans="2:4" ht="18.75">
      <c r="B60" s="589"/>
      <c r="C60" s="589"/>
      <c r="D60" s="589"/>
    </row>
    <row r="61" spans="2:4" ht="18.75">
      <c r="B61" s="590"/>
      <c r="C61" s="590"/>
      <c r="D61" s="590"/>
    </row>
    <row r="62" spans="2:4" ht="18.75">
      <c r="B62" s="589"/>
      <c r="C62" s="589"/>
      <c r="D62" s="589"/>
    </row>
    <row r="63" spans="2:4" ht="18.75">
      <c r="B63" s="590"/>
      <c r="C63" s="590"/>
      <c r="D63" s="590"/>
    </row>
    <row r="64" spans="2:4" ht="18.75">
      <c r="B64" s="589"/>
      <c r="C64" s="589"/>
      <c r="D64" s="589"/>
    </row>
    <row r="65" ht="18.75">
      <c r="E65" s="590"/>
    </row>
    <row r="66" ht="18.75">
      <c r="F66" s="590"/>
    </row>
    <row r="67" spans="2:4" ht="18.75">
      <c r="B67" s="589"/>
      <c r="C67" s="589"/>
      <c r="D67" s="589"/>
    </row>
    <row r="68" spans="2:4" ht="18.75">
      <c r="B68" s="589"/>
      <c r="C68" s="589"/>
      <c r="D68" s="589"/>
    </row>
    <row r="69" spans="2:4" ht="18.75">
      <c r="B69" s="589"/>
      <c r="C69" s="589"/>
      <c r="D69" s="589"/>
    </row>
  </sheetData>
  <sheetProtection/>
  <mergeCells count="13">
    <mergeCell ref="D5:D6"/>
    <mergeCell ref="E5:E6"/>
    <mergeCell ref="F5:K5"/>
    <mergeCell ref="L5:Q5"/>
    <mergeCell ref="R5:U5"/>
    <mergeCell ref="V5:V6"/>
    <mergeCell ref="A2:V2"/>
    <mergeCell ref="A3:V3"/>
    <mergeCell ref="J4:Q4"/>
    <mergeCell ref="T4:V4"/>
    <mergeCell ref="A5:A6"/>
    <mergeCell ref="B5:B6"/>
    <mergeCell ref="C5:C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2016-09-28T07:41:52Z</cp:lastPrinted>
  <dcterms:created xsi:type="dcterms:W3CDTF">1996-10-14T23:33:28Z</dcterms:created>
  <dcterms:modified xsi:type="dcterms:W3CDTF">2016-09-28T07:45:39Z</dcterms:modified>
  <cp:category/>
  <cp:version/>
  <cp:contentType/>
  <cp:contentStatus/>
</cp:coreProperties>
</file>